
<file path=[Content_Types].xml><?xml version="1.0" encoding="utf-8"?>
<Types xmlns="http://schemas.openxmlformats.org/package/2006/content-types">
  <Default Extension="png" ContentType="image/png"/>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ml.chartshap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Default Extension="wdp" ContentType="image/vnd.ms-photo"/>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autoCompressPictures="0"/>
  <bookViews>
    <workbookView xWindow="-15" yWindow="0" windowWidth="38415" windowHeight="16440" tabRatio="846" activeTab="1"/>
  </bookViews>
  <sheets>
    <sheet name="introduction" sheetId="7" r:id="rId1"/>
    <sheet name="Data Entry Sheet" sheetId="32" r:id="rId2"/>
    <sheet name="Heat Loss Calculator" sheetId="21" r:id="rId3"/>
    <sheet name="equipment" sheetId="13" r:id="rId4"/>
    <sheet name="MCS calc and run costs " sheetId="12" r:id="rId5"/>
    <sheet name="MCS020 sound test" sheetId="15" r:id="rId6"/>
    <sheet name="MCS Compliance Certificate" sheetId="18" r:id="rId7"/>
    <sheet name="SPF Calculator" sheetId="20" state="hidden" r:id="rId8"/>
    <sheet name="MCS performance estimate" sheetId="25" r:id="rId9"/>
    <sheet name="swimming pools" sheetId="29" state="hidden" r:id="rId10"/>
    <sheet name="myson" sheetId="22" state="hidden" r:id="rId11"/>
  </sheets>
  <externalReferences>
    <externalReference r:id="rId12"/>
  </externalReferences>
  <definedNames>
    <definedName name="_12kW_mono">equipment!#REF!</definedName>
    <definedName name="_14kW_mono" localSheetId="9">equipment!#REF!</definedName>
    <definedName name="_14kW_mono">equipment!#REF!</definedName>
    <definedName name="_16kW_Mono">equipment!$E$128:$E$134</definedName>
    <definedName name="_16kW_Mono_T_mode">equipment!#REF!</definedName>
    <definedName name="_2_x_16kW_mono">equipment!$B$128:$B$134</definedName>
    <definedName name="_2_x_9kW_mono">equipment!$D$128:$D$134</definedName>
    <definedName name="_3_x16kW_monos" localSheetId="9">equipment!#REF!</definedName>
    <definedName name="_3_x16kW_monos">equipment!#REF!</definedName>
    <definedName name="_45_Degrees_C_Flow">equipment!$A$150:$L$158</definedName>
    <definedName name="_50_Degreees_C_Flow">equipment!$A$126:$L$135</definedName>
    <definedName name="_50_Degrees_C_Flow">equipment!$A$126:$L$135</definedName>
    <definedName name="_9kW___16kW__16kW" localSheetId="9">equipment!#REF!</definedName>
    <definedName name="_9kW___16kW__16kW">equipment!#REF!</definedName>
    <definedName name="_9kW___9kW___16kW" localSheetId="9">equipment!#REF!</definedName>
    <definedName name="_9kW___9kW___16kW">equipment!#REF!</definedName>
    <definedName name="_9kW_and_16kW">equipment!$C$128:$C$134</definedName>
    <definedName name="_9kW_Mono">equipment!$F$128:$F$134</definedName>
    <definedName name="_9kW_Mono_T_mode">equipment!$H$128:$H$134</definedName>
    <definedName name="ambient_temperature">equipment!$B$128:$K$134</definedName>
    <definedName name="data">[1]Sheet2!$B$4:$B$66</definedName>
    <definedName name="LINEB">equipment!$D$10:$G$21</definedName>
    <definedName name="linec">equipment!$D$10:$G$21</definedName>
    <definedName name="_xlnm.Print_Area" localSheetId="1">'Data Entry Sheet'!$A$1:$L$64</definedName>
    <definedName name="_xlnm.Print_Area" localSheetId="3">equipment!$A$1:$J$77</definedName>
    <definedName name="_xlnm.Print_Area" localSheetId="2">'Heat Loss Calculator'!$A$1:$H$651</definedName>
    <definedName name="_xlnm.Print_Area" localSheetId="0">introduction!$A$1:$U$57</definedName>
    <definedName name="_xlnm.Print_Area" localSheetId="4">'MCS calc and run costs '!$A$1:$K$85</definedName>
    <definedName name="_xlnm.Print_Area" localSheetId="6">'MCS Compliance Certificate'!$A$1:$F$141</definedName>
    <definedName name="_xlnm.Print_Area" localSheetId="8">'MCS performance estimate'!$A$1:$D$89</definedName>
    <definedName name="_xlnm.Print_Area" localSheetId="5">'MCS020 sound test'!$A$1:$Q$61</definedName>
    <definedName name="_xlnm.Print_Area" localSheetId="10">myson!$A$1:$T$89</definedName>
    <definedName name="_xlnm.Print_Area" localSheetId="9">'swimming pools'!$A$1:$G$50</definedName>
  </definedNames>
  <calcPr calcId="125725"/>
  <extLst>
    <ext xmlns:mx="http://schemas.microsoft.com/office/mac/excel/2008/main" uri="{7523E5D3-25F3-A5E0-1632-64F254C22452}">
      <mx:ArchID Flags="2"/>
    </ext>
  </extLst>
</workbook>
</file>

<file path=xl/calcChain.xml><?xml version="1.0" encoding="utf-8"?>
<calcChain xmlns="http://schemas.openxmlformats.org/spreadsheetml/2006/main">
  <c r="F218" i="13"/>
  <c r="I29" i="15"/>
  <c r="M13" i="12"/>
  <c r="K224" i="13"/>
  <c r="K223"/>
  <c r="K222"/>
  <c r="K221"/>
  <c r="K220"/>
  <c r="K219"/>
  <c r="K218"/>
  <c r="J224"/>
  <c r="J223"/>
  <c r="J222"/>
  <c r="J221"/>
  <c r="J220"/>
  <c r="J219"/>
  <c r="J218"/>
  <c r="I224"/>
  <c r="I223"/>
  <c r="I222"/>
  <c r="I221"/>
  <c r="I220"/>
  <c r="I219"/>
  <c r="I218"/>
  <c r="H224"/>
  <c r="H223"/>
  <c r="H222"/>
  <c r="H221"/>
  <c r="H220"/>
  <c r="H219"/>
  <c r="H218"/>
  <c r="G224"/>
  <c r="G223"/>
  <c r="G222"/>
  <c r="G221"/>
  <c r="G220"/>
  <c r="G219"/>
  <c r="G218"/>
  <c r="F224"/>
  <c r="F223"/>
  <c r="F222"/>
  <c r="F221"/>
  <c r="F220"/>
  <c r="F219"/>
  <c r="E218"/>
  <c r="B205"/>
  <c r="K32" i="15"/>
  <c r="Y54"/>
  <c r="Y55"/>
  <c r="K35"/>
  <c r="Y56"/>
  <c r="Y57"/>
  <c r="K36"/>
  <c r="E87" i="18"/>
  <c r="G51" i="32"/>
  <c r="G50"/>
  <c r="G49"/>
  <c r="G48"/>
  <c r="N23"/>
  <c r="B6" i="12"/>
  <c r="B224" i="13"/>
  <c r="B223"/>
  <c r="B222"/>
  <c r="B221"/>
  <c r="B220"/>
  <c r="B219"/>
  <c r="B218"/>
  <c r="C224"/>
  <c r="C223"/>
  <c r="C222"/>
  <c r="C221"/>
  <c r="C220"/>
  <c r="C219"/>
  <c r="C218"/>
  <c r="D224"/>
  <c r="D223"/>
  <c r="D222"/>
  <c r="D221"/>
  <c r="D220"/>
  <c r="D219"/>
  <c r="D218"/>
  <c r="A114"/>
  <c r="A113"/>
  <c r="A112"/>
  <c r="A111"/>
  <c r="A110"/>
  <c r="A109"/>
  <c r="A108"/>
  <c r="A107"/>
  <c r="A106"/>
  <c r="A105"/>
  <c r="A104"/>
  <c r="A103"/>
  <c r="A102"/>
  <c r="A101"/>
  <c r="A100"/>
  <c r="D186"/>
  <c r="C186"/>
  <c r="B186"/>
  <c r="D185"/>
  <c r="C185"/>
  <c r="B185"/>
  <c r="D184"/>
  <c r="C184"/>
  <c r="B184"/>
  <c r="D183"/>
  <c r="C183"/>
  <c r="B183"/>
  <c r="D182"/>
  <c r="C182"/>
  <c r="B182"/>
  <c r="D181"/>
  <c r="C181"/>
  <c r="B181"/>
  <c r="D180"/>
  <c r="C180"/>
  <c r="B180"/>
  <c r="B167"/>
  <c r="D173"/>
  <c r="C173"/>
  <c r="B173"/>
  <c r="D172"/>
  <c r="C172"/>
  <c r="B172"/>
  <c r="D171"/>
  <c r="C171"/>
  <c r="B171"/>
  <c r="D170"/>
  <c r="C170"/>
  <c r="B170"/>
  <c r="D169"/>
  <c r="C169"/>
  <c r="B169"/>
  <c r="D168"/>
  <c r="C168"/>
  <c r="B168"/>
  <c r="D167"/>
  <c r="C167"/>
  <c r="C153"/>
  <c r="C154"/>
  <c r="C155"/>
  <c r="C156"/>
  <c r="C157"/>
  <c r="C158"/>
  <c r="C152"/>
  <c r="D153"/>
  <c r="D154"/>
  <c r="D155"/>
  <c r="D156"/>
  <c r="D157"/>
  <c r="D158"/>
  <c r="D152"/>
  <c r="B155"/>
  <c r="B156"/>
  <c r="B153"/>
  <c r="B154"/>
  <c r="B157"/>
  <c r="B158"/>
  <c r="B152"/>
  <c r="Q76" i="12"/>
  <c r="Q75"/>
  <c r="Q72"/>
  <c r="Q74"/>
  <c r="Q73"/>
  <c r="Q71"/>
  <c r="G286" i="21"/>
  <c r="E29"/>
  <c r="H2" i="13"/>
  <c r="D1204" i="21"/>
  <c r="D1172"/>
  <c r="D1140"/>
  <c r="D1108"/>
  <c r="D1076"/>
  <c r="D1044"/>
  <c r="D1012"/>
  <c r="D980"/>
  <c r="D948"/>
  <c r="D916"/>
  <c r="D884"/>
  <c r="D852"/>
  <c r="D820"/>
  <c r="D788"/>
  <c r="D756"/>
  <c r="D724"/>
  <c r="D692"/>
  <c r="D660"/>
  <c r="D628"/>
  <c r="D596"/>
  <c r="D564"/>
  <c r="D532"/>
  <c r="D500"/>
  <c r="D468"/>
  <c r="D436"/>
  <c r="D404"/>
  <c r="D372"/>
  <c r="D340"/>
  <c r="D308"/>
  <c r="D276"/>
  <c r="D244"/>
  <c r="D212"/>
  <c r="D180"/>
  <c r="D148"/>
  <c r="D116"/>
  <c r="D84"/>
  <c r="D52"/>
  <c r="D20"/>
  <c r="J113"/>
  <c r="I76" i="12"/>
  <c r="C54" i="13"/>
  <c r="B2" i="25"/>
  <c r="B5"/>
  <c r="B6"/>
  <c r="M1" i="12"/>
  <c r="N8"/>
  <c r="M8"/>
  <c r="M7"/>
  <c r="M5"/>
  <c r="M3"/>
  <c r="M6"/>
  <c r="M4"/>
  <c r="E80" i="18"/>
  <c r="E90"/>
  <c r="E37"/>
  <c r="C55" i="25"/>
  <c r="F55"/>
  <c r="C56"/>
  <c r="F56"/>
  <c r="C54"/>
  <c r="F54"/>
  <c r="C53"/>
  <c r="F53"/>
  <c r="C52"/>
  <c r="F52"/>
  <c r="C51"/>
  <c r="F51"/>
  <c r="C50"/>
  <c r="F50"/>
  <c r="C49"/>
  <c r="F49"/>
  <c r="C48"/>
  <c r="F48"/>
  <c r="C47"/>
  <c r="F47"/>
  <c r="C46"/>
  <c r="F46"/>
  <c r="C45"/>
  <c r="F45"/>
  <c r="C44"/>
  <c r="F44"/>
  <c r="C43"/>
  <c r="F43"/>
  <c r="C42"/>
  <c r="F42"/>
  <c r="C41"/>
  <c r="F41"/>
  <c r="C40"/>
  <c r="F40"/>
  <c r="C39"/>
  <c r="F39"/>
  <c r="C38"/>
  <c r="F38"/>
  <c r="C37"/>
  <c r="F37"/>
  <c r="C36"/>
  <c r="F36"/>
  <c r="C35"/>
  <c r="F35"/>
  <c r="C34"/>
  <c r="F34"/>
  <c r="C33"/>
  <c r="F33"/>
  <c r="C32"/>
  <c r="F32"/>
  <c r="C31"/>
  <c r="F31"/>
  <c r="C30"/>
  <c r="F30"/>
  <c r="C29"/>
  <c r="F29"/>
  <c r="C28"/>
  <c r="F28"/>
  <c r="C27"/>
  <c r="C26"/>
  <c r="F26"/>
  <c r="C25"/>
  <c r="C24"/>
  <c r="C23"/>
  <c r="C22"/>
  <c r="C21"/>
  <c r="C20"/>
  <c r="C19"/>
  <c r="E1213" i="21"/>
  <c r="E1181"/>
  <c r="E1149"/>
  <c r="E1117"/>
  <c r="E1085"/>
  <c r="E1053"/>
  <c r="E1021"/>
  <c r="E989"/>
  <c r="E957"/>
  <c r="E925"/>
  <c r="E893"/>
  <c r="E861"/>
  <c r="E829"/>
  <c r="E797"/>
  <c r="E765"/>
  <c r="E733"/>
  <c r="E701"/>
  <c r="E669"/>
  <c r="E637"/>
  <c r="E605"/>
  <c r="E573"/>
  <c r="E541"/>
  <c r="E509"/>
  <c r="E477"/>
  <c r="E445"/>
  <c r="E413"/>
  <c r="E381"/>
  <c r="E349"/>
  <c r="E317"/>
  <c r="E285"/>
  <c r="E253"/>
  <c r="E221"/>
  <c r="E189"/>
  <c r="E157"/>
  <c r="E125"/>
  <c r="E93"/>
  <c r="E61"/>
  <c r="D43" i="18"/>
  <c r="F20" i="25"/>
  <c r="D45" i="18"/>
  <c r="F22" i="25"/>
  <c r="D47" i="18"/>
  <c r="F24" i="25"/>
  <c r="D59" i="18"/>
  <c r="D61"/>
  <c r="D63"/>
  <c r="D65"/>
  <c r="D67"/>
  <c r="D69"/>
  <c r="D71"/>
  <c r="D73"/>
  <c r="D75"/>
  <c r="D77"/>
  <c r="E55" i="25"/>
  <c r="E78" i="18"/>
  <c r="D42"/>
  <c r="F19" i="25"/>
  <c r="E21"/>
  <c r="E44" i="18"/>
  <c r="F21" i="25"/>
  <c r="E23"/>
  <c r="E46" i="18"/>
  <c r="F23" i="25"/>
  <c r="E25"/>
  <c r="E48" i="18"/>
  <c r="F25" i="25"/>
  <c r="D50" i="18"/>
  <c r="F27" i="25"/>
  <c r="E29"/>
  <c r="E52" i="18"/>
  <c r="D54"/>
  <c r="E33" i="25"/>
  <c r="E56" i="18"/>
  <c r="E35" i="25"/>
  <c r="E58" i="18"/>
  <c r="E37" i="25"/>
  <c r="E60" i="18"/>
  <c r="E39" i="25"/>
  <c r="E62" i="18"/>
  <c r="E41" i="25"/>
  <c r="E64" i="18"/>
  <c r="E43" i="25"/>
  <c r="E66" i="18"/>
  <c r="E45" i="25"/>
  <c r="E68" i="18"/>
  <c r="E47" i="25"/>
  <c r="E70" i="18"/>
  <c r="E49" i="25"/>
  <c r="E72" i="18"/>
  <c r="E51" i="25"/>
  <c r="E74" i="18"/>
  <c r="E53" i="25"/>
  <c r="E76" i="18"/>
  <c r="D79"/>
  <c r="E20" i="25"/>
  <c r="E43" i="18"/>
  <c r="E44" i="25"/>
  <c r="E67" i="18"/>
  <c r="E36" i="25"/>
  <c r="E59" i="18"/>
  <c r="E52" i="25"/>
  <c r="E75" i="18"/>
  <c r="E27" i="25"/>
  <c r="E50" i="18"/>
  <c r="E31" i="25"/>
  <c r="E54" i="18"/>
  <c r="D76"/>
  <c r="D72"/>
  <c r="D68"/>
  <c r="D64"/>
  <c r="D60"/>
  <c r="D56"/>
  <c r="D52"/>
  <c r="D48"/>
  <c r="D44"/>
  <c r="E40" i="25"/>
  <c r="E63" i="18"/>
  <c r="E48" i="25"/>
  <c r="E71" i="18"/>
  <c r="E56" i="25"/>
  <c r="E79" i="18"/>
  <c r="D78"/>
  <c r="D74"/>
  <c r="D70"/>
  <c r="D66"/>
  <c r="D62"/>
  <c r="D58"/>
  <c r="D46"/>
  <c r="D49"/>
  <c r="E26" i="25"/>
  <c r="E49" i="18"/>
  <c r="D51"/>
  <c r="E28" i="25"/>
  <c r="E51" i="18"/>
  <c r="D53"/>
  <c r="E30" i="25"/>
  <c r="E53" i="18"/>
  <c r="D55"/>
  <c r="E32" i="25"/>
  <c r="E55" i="18"/>
  <c r="D57"/>
  <c r="E34" i="25"/>
  <c r="E57" i="18"/>
  <c r="E22" i="25"/>
  <c r="E45" i="18"/>
  <c r="E24" i="25"/>
  <c r="E47" i="18"/>
  <c r="E38" i="25"/>
  <c r="E61" i="18"/>
  <c r="E42" i="25"/>
  <c r="E65" i="18"/>
  <c r="E46" i="25"/>
  <c r="E69" i="18"/>
  <c r="E50" i="25"/>
  <c r="E73" i="18"/>
  <c r="E54" i="25"/>
  <c r="E77" i="18"/>
  <c r="E19" i="25"/>
  <c r="E42" i="18"/>
  <c r="C14" i="25"/>
  <c r="A56"/>
  <c r="B79" i="18"/>
  <c r="A55" i="25"/>
  <c r="B78" i="18"/>
  <c r="A54" i="25"/>
  <c r="B77" i="18"/>
  <c r="A53" i="25"/>
  <c r="B76" i="18"/>
  <c r="A52" i="25"/>
  <c r="B75" i="18"/>
  <c r="A51" i="25"/>
  <c r="B74" i="18"/>
  <c r="A50" i="25"/>
  <c r="B73" i="18"/>
  <c r="A49" i="25"/>
  <c r="B72" i="18"/>
  <c r="A48" i="25"/>
  <c r="B71" i="18"/>
  <c r="A47" i="25"/>
  <c r="B70" i="18"/>
  <c r="A46" i="25"/>
  <c r="B69" i="18"/>
  <c r="A45" i="25"/>
  <c r="B68" i="18"/>
  <c r="A44" i="25"/>
  <c r="B67" i="18"/>
  <c r="A43" i="25"/>
  <c r="B66" i="18"/>
  <c r="A42" i="25"/>
  <c r="B65" i="18"/>
  <c r="A41" i="25"/>
  <c r="B64" i="18"/>
  <c r="A40" i="25"/>
  <c r="B63" i="18"/>
  <c r="A39" i="25"/>
  <c r="B62" i="18"/>
  <c r="A38" i="25"/>
  <c r="B61" i="18"/>
  <c r="A37" i="25"/>
  <c r="B60" i="18"/>
  <c r="A36" i="25"/>
  <c r="B59" i="18"/>
  <c r="A35" i="25"/>
  <c r="B58" i="18"/>
  <c r="A34" i="25"/>
  <c r="B57" i="18"/>
  <c r="A33" i="25"/>
  <c r="B56" i="18"/>
  <c r="A32" i="25"/>
  <c r="B55" i="18"/>
  <c r="A31" i="25"/>
  <c r="B54" i="18"/>
  <c r="A30" i="25"/>
  <c r="B53" i="18"/>
  <c r="A29" i="25"/>
  <c r="B52" i="18"/>
  <c r="A28" i="25"/>
  <c r="B51" i="18"/>
  <c r="A27" i="25"/>
  <c r="B50" i="18"/>
  <c r="A26" i="25"/>
  <c r="B49" i="18"/>
  <c r="A25" i="25"/>
  <c r="B48" i="18"/>
  <c r="A24" i="25"/>
  <c r="B47" i="18"/>
  <c r="A23" i="25"/>
  <c r="B46" i="18"/>
  <c r="A21" i="25"/>
  <c r="B44" i="18"/>
  <c r="A20" i="25"/>
  <c r="B43" i="18"/>
  <c r="E16"/>
  <c r="E8"/>
  <c r="B4" i="25"/>
  <c r="E9" i="18"/>
  <c r="E10"/>
  <c r="E11"/>
  <c r="E12"/>
  <c r="E7"/>
  <c r="E6"/>
  <c r="B3" i="25"/>
  <c r="B2" i="12"/>
  <c r="M2"/>
  <c r="J70"/>
  <c r="B85" i="13"/>
  <c r="D40" i="32"/>
  <c r="D41"/>
  <c r="E12" i="13"/>
  <c r="E10"/>
  <c r="H4"/>
  <c r="H3"/>
  <c r="A13" i="12"/>
  <c r="I10" i="13"/>
  <c r="C56"/>
  <c r="E84" i="18"/>
  <c r="E95"/>
  <c r="E93"/>
  <c r="I30" i="32"/>
  <c r="I29"/>
  <c r="G4" i="21"/>
  <c r="E81" i="18"/>
  <c r="C15" i="25"/>
  <c r="A1219" i="21"/>
  <c r="G1214"/>
  <c r="A1187"/>
  <c r="G1182"/>
  <c r="A1155"/>
  <c r="G1150"/>
  <c r="A1123"/>
  <c r="G1118"/>
  <c r="A1091"/>
  <c r="G1086"/>
  <c r="A1059"/>
  <c r="G1054"/>
  <c r="A1027"/>
  <c r="G1022"/>
  <c r="A995"/>
  <c r="G990"/>
  <c r="A963"/>
  <c r="G958"/>
  <c r="A931"/>
  <c r="G926"/>
  <c r="A899"/>
  <c r="G894"/>
  <c r="A867"/>
  <c r="G862"/>
  <c r="A835"/>
  <c r="G830"/>
  <c r="A803"/>
  <c r="G798"/>
  <c r="A771"/>
  <c r="G766"/>
  <c r="A739"/>
  <c r="G734"/>
  <c r="A707"/>
  <c r="G702"/>
  <c r="A675"/>
  <c r="G670"/>
  <c r="A643"/>
  <c r="G638"/>
  <c r="A611"/>
  <c r="G606"/>
  <c r="A579"/>
  <c r="G574"/>
  <c r="A547"/>
  <c r="G542"/>
  <c r="A515"/>
  <c r="G510"/>
  <c r="A483"/>
  <c r="G478"/>
  <c r="A451"/>
  <c r="G446"/>
  <c r="A419"/>
  <c r="G414"/>
  <c r="A387"/>
  <c r="G382"/>
  <c r="A355"/>
  <c r="G350"/>
  <c r="A323"/>
  <c r="G318"/>
  <c r="A291"/>
  <c r="A259"/>
  <c r="G254"/>
  <c r="A227"/>
  <c r="G222"/>
  <c r="A195"/>
  <c r="G190"/>
  <c r="A163"/>
  <c r="G158"/>
  <c r="A131"/>
  <c r="G126"/>
  <c r="A99"/>
  <c r="A67"/>
  <c r="N4" i="32"/>
  <c r="J4" i="21"/>
  <c r="D30" i="32"/>
  <c r="D33"/>
  <c r="D29"/>
  <c r="D32"/>
  <c r="N113"/>
  <c r="J54" i="21"/>
  <c r="D1170"/>
  <c r="E1170"/>
  <c r="D1106"/>
  <c r="E1106"/>
  <c r="D1042"/>
  <c r="E1042"/>
  <c r="D978"/>
  <c r="E978"/>
  <c r="D914"/>
  <c r="E914"/>
  <c r="D850"/>
  <c r="E850"/>
  <c r="D786"/>
  <c r="E786"/>
  <c r="D722"/>
  <c r="E722"/>
  <c r="D658"/>
  <c r="E658"/>
  <c r="D594"/>
  <c r="E594"/>
  <c r="D530"/>
  <c r="E530"/>
  <c r="D466"/>
  <c r="E466"/>
  <c r="D402"/>
  <c r="E402"/>
  <c r="D338"/>
  <c r="E338"/>
  <c r="D274"/>
  <c r="E274"/>
  <c r="D210"/>
  <c r="E210"/>
  <c r="D146"/>
  <c r="E146"/>
  <c r="D82"/>
  <c r="E82"/>
  <c r="D1202"/>
  <c r="E1202"/>
  <c r="D1138"/>
  <c r="E1138"/>
  <c r="D1074"/>
  <c r="E1074"/>
  <c r="D1010"/>
  <c r="E1010"/>
  <c r="D946"/>
  <c r="E946"/>
  <c r="D882"/>
  <c r="E882"/>
  <c r="D818"/>
  <c r="E818"/>
  <c r="D754"/>
  <c r="E754"/>
  <c r="D690"/>
  <c r="E690"/>
  <c r="D626"/>
  <c r="E626"/>
  <c r="D562"/>
  <c r="E562"/>
  <c r="D498"/>
  <c r="E498"/>
  <c r="D434"/>
  <c r="E434"/>
  <c r="D370"/>
  <c r="E370"/>
  <c r="D306"/>
  <c r="E306"/>
  <c r="D242"/>
  <c r="E242"/>
  <c r="D178"/>
  <c r="E178"/>
  <c r="D114"/>
  <c r="E114"/>
  <c r="A140" i="13"/>
  <c r="B9"/>
  <c r="N54" i="32"/>
  <c r="N81"/>
  <c r="J81" i="21"/>
  <c r="D1197"/>
  <c r="D1069"/>
  <c r="E1069"/>
  <c r="D1037"/>
  <c r="D941"/>
  <c r="E941"/>
  <c r="D877"/>
  <c r="E877"/>
  <c r="D781"/>
  <c r="E781"/>
  <c r="D685"/>
  <c r="E685"/>
  <c r="D621"/>
  <c r="E621"/>
  <c r="D525"/>
  <c r="E525"/>
  <c r="D429"/>
  <c r="E429"/>
  <c r="D333"/>
  <c r="E333"/>
  <c r="D269"/>
  <c r="E269"/>
  <c r="D173"/>
  <c r="E173"/>
  <c r="D109"/>
  <c r="E109"/>
  <c r="D13"/>
  <c r="E13"/>
  <c r="D1165"/>
  <c r="E1165"/>
  <c r="D973"/>
  <c r="D813"/>
  <c r="E813"/>
  <c r="D653"/>
  <c r="E653"/>
  <c r="D557"/>
  <c r="E557"/>
  <c r="D461"/>
  <c r="D301"/>
  <c r="E301"/>
  <c r="D205"/>
  <c r="E205"/>
  <c r="D45"/>
  <c r="E45"/>
  <c r="D1133"/>
  <c r="E1133"/>
  <c r="D1101"/>
  <c r="E1101"/>
  <c r="D1005"/>
  <c r="E1005"/>
  <c r="D909"/>
  <c r="E909"/>
  <c r="D845"/>
  <c r="E845"/>
  <c r="D749"/>
  <c r="E749"/>
  <c r="D717"/>
  <c r="E717"/>
  <c r="D589"/>
  <c r="E589"/>
  <c r="D493"/>
  <c r="E493"/>
  <c r="D397"/>
  <c r="E397"/>
  <c r="D365"/>
  <c r="E365"/>
  <c r="D237"/>
  <c r="E237"/>
  <c r="D141"/>
  <c r="D77"/>
  <c r="E77"/>
  <c r="J23"/>
  <c r="E1108"/>
  <c r="E180"/>
  <c r="E212"/>
  <c r="E340"/>
  <c r="E852"/>
  <c r="E1204"/>
  <c r="E116"/>
  <c r="E628"/>
  <c r="E1197"/>
  <c r="E404"/>
  <c r="E916"/>
  <c r="E1140"/>
  <c r="E692"/>
  <c r="E276"/>
  <c r="E1076"/>
  <c r="E52"/>
  <c r="E308"/>
  <c r="E468"/>
  <c r="E980"/>
  <c r="E244"/>
  <c r="E461"/>
  <c r="E756"/>
  <c r="E973"/>
  <c r="E532"/>
  <c r="E1044"/>
  <c r="E820"/>
  <c r="E1037"/>
  <c r="E84"/>
  <c r="E724"/>
  <c r="E500"/>
  <c r="E1012"/>
  <c r="E788"/>
  <c r="E436"/>
  <c r="E596"/>
  <c r="E372"/>
  <c r="E884"/>
  <c r="E148"/>
  <c r="E660"/>
  <c r="E948"/>
  <c r="E1172"/>
  <c r="E141"/>
  <c r="E564"/>
  <c r="E27" i="18"/>
  <c r="B12" i="13"/>
  <c r="E26" i="18"/>
  <c r="E20" i="21"/>
  <c r="D50"/>
  <c r="E50"/>
  <c r="D18"/>
  <c r="E18"/>
  <c r="D1136"/>
  <c r="E1136"/>
  <c r="D1008"/>
  <c r="E1008"/>
  <c r="D880"/>
  <c r="E880"/>
  <c r="D752"/>
  <c r="E752"/>
  <c r="D624"/>
  <c r="E624"/>
  <c r="D496"/>
  <c r="E496"/>
  <c r="D368"/>
  <c r="E368"/>
  <c r="D240"/>
  <c r="E240"/>
  <c r="D112"/>
  <c r="E112"/>
  <c r="D400"/>
  <c r="E400"/>
  <c r="D144"/>
  <c r="E144"/>
  <c r="D976"/>
  <c r="E976"/>
  <c r="D592"/>
  <c r="E592"/>
  <c r="D336"/>
  <c r="E336"/>
  <c r="D16"/>
  <c r="E16"/>
  <c r="D1168"/>
  <c r="E1168"/>
  <c r="D1040"/>
  <c r="E1040"/>
  <c r="D912"/>
  <c r="E912"/>
  <c r="D784"/>
  <c r="E784"/>
  <c r="D656"/>
  <c r="E656"/>
  <c r="D528"/>
  <c r="E528"/>
  <c r="D272"/>
  <c r="E272"/>
  <c r="D720"/>
  <c r="E720"/>
  <c r="D208"/>
  <c r="E208"/>
  <c r="D1200"/>
  <c r="E1200"/>
  <c r="D1072"/>
  <c r="E1072"/>
  <c r="D944"/>
  <c r="E944"/>
  <c r="D816"/>
  <c r="E816"/>
  <c r="D688"/>
  <c r="E688"/>
  <c r="D560"/>
  <c r="E560"/>
  <c r="D432"/>
  <c r="E432"/>
  <c r="D304"/>
  <c r="E304"/>
  <c r="D176"/>
  <c r="E176"/>
  <c r="D48"/>
  <c r="E48"/>
  <c r="D1104"/>
  <c r="E1104"/>
  <c r="D848"/>
  <c r="E848"/>
  <c r="D464"/>
  <c r="E464"/>
  <c r="D80"/>
  <c r="E80"/>
  <c r="D1195"/>
  <c r="E1195"/>
  <c r="D1067"/>
  <c r="E1067"/>
  <c r="G1067"/>
  <c r="D939"/>
  <c r="E939"/>
  <c r="D811"/>
  <c r="E811"/>
  <c r="D683"/>
  <c r="E683"/>
  <c r="G683"/>
  <c r="D555"/>
  <c r="E555"/>
  <c r="G555"/>
  <c r="D427"/>
  <c r="E427"/>
  <c r="G427"/>
  <c r="D299"/>
  <c r="E299"/>
  <c r="D171"/>
  <c r="E171"/>
  <c r="G171"/>
  <c r="D43"/>
  <c r="E43"/>
  <c r="D1163"/>
  <c r="E1163"/>
  <c r="D1035"/>
  <c r="E1035"/>
  <c r="D907"/>
  <c r="E907"/>
  <c r="D779"/>
  <c r="E779"/>
  <c r="D651"/>
  <c r="E651"/>
  <c r="D523"/>
  <c r="E523"/>
  <c r="D395"/>
  <c r="E395"/>
  <c r="D267"/>
  <c r="E267"/>
  <c r="G267"/>
  <c r="B291"/>
  <c r="D139"/>
  <c r="E139"/>
  <c r="D11"/>
  <c r="E11"/>
  <c r="D971"/>
  <c r="E971"/>
  <c r="D715"/>
  <c r="E715"/>
  <c r="D587"/>
  <c r="E587"/>
  <c r="G587"/>
  <c r="D331"/>
  <c r="E331"/>
  <c r="D1131"/>
  <c r="E1131"/>
  <c r="G1131"/>
  <c r="D1003"/>
  <c r="E1003"/>
  <c r="D875"/>
  <c r="E875"/>
  <c r="D747"/>
  <c r="E747"/>
  <c r="D619"/>
  <c r="E619"/>
  <c r="D491"/>
  <c r="E491"/>
  <c r="D363"/>
  <c r="E363"/>
  <c r="D235"/>
  <c r="E235"/>
  <c r="D107"/>
  <c r="E107"/>
  <c r="D1099"/>
  <c r="E1099"/>
  <c r="D843"/>
  <c r="E843"/>
  <c r="D459"/>
  <c r="E459"/>
  <c r="D203"/>
  <c r="E203"/>
  <c r="D75"/>
  <c r="E75"/>
  <c r="G939"/>
  <c r="B963"/>
  <c r="F1149"/>
  <c r="G1149"/>
  <c r="B1155"/>
  <c r="F1085"/>
  <c r="G1085"/>
  <c r="B1091"/>
  <c r="F701"/>
  <c r="G701"/>
  <c r="B707"/>
  <c r="F605"/>
  <c r="G605"/>
  <c r="B611"/>
  <c r="F573"/>
  <c r="G573"/>
  <c r="B579"/>
  <c r="F445"/>
  <c r="G445"/>
  <c r="B451"/>
  <c r="F189"/>
  <c r="G189"/>
  <c r="B195"/>
  <c r="G43"/>
  <c r="B67"/>
  <c r="G107"/>
  <c r="G363"/>
  <c r="G619"/>
  <c r="G875"/>
  <c r="G139"/>
  <c r="G907"/>
  <c r="G1195"/>
  <c r="G75"/>
  <c r="G1099"/>
  <c r="G491"/>
  <c r="G1003"/>
  <c r="G715"/>
  <c r="B739"/>
  <c r="G523"/>
  <c r="G779"/>
  <c r="G1035"/>
  <c r="G1163"/>
  <c r="F729"/>
  <c r="G271"/>
  <c r="F285"/>
  <c r="G285"/>
  <c r="G395"/>
  <c r="F953"/>
  <c r="F957"/>
  <c r="G957"/>
  <c r="G459"/>
  <c r="G331"/>
  <c r="B355"/>
  <c r="G843"/>
  <c r="G299"/>
  <c r="B323"/>
  <c r="G203"/>
  <c r="B227"/>
  <c r="G651"/>
  <c r="B675"/>
  <c r="G971"/>
  <c r="B995"/>
  <c r="G235"/>
  <c r="B259"/>
  <c r="G747"/>
  <c r="B771"/>
  <c r="G811"/>
  <c r="B835"/>
  <c r="F1113"/>
  <c r="G959"/>
  <c r="G783"/>
  <c r="G941"/>
  <c r="B48" i="25"/>
  <c r="C71" i="18"/>
  <c r="G111" i="21"/>
  <c r="G1103"/>
  <c r="G943"/>
  <c r="F793"/>
  <c r="G719"/>
  <c r="F121"/>
  <c r="F313"/>
  <c r="G429"/>
  <c r="B32" i="25"/>
  <c r="C55" i="18"/>
  <c r="F569" i="21"/>
  <c r="G879"/>
  <c r="G47"/>
  <c r="G815"/>
  <c r="F89"/>
  <c r="F153"/>
  <c r="F601"/>
  <c r="G335"/>
  <c r="G143"/>
  <c r="F377"/>
  <c r="G1215"/>
  <c r="G79"/>
  <c r="G591"/>
  <c r="F281"/>
  <c r="F921"/>
  <c r="F537"/>
  <c r="F1177"/>
  <c r="G367"/>
  <c r="G589"/>
  <c r="B37" i="25"/>
  <c r="C60" i="18"/>
  <c r="G607" i="21"/>
  <c r="G287"/>
  <c r="G269"/>
  <c r="B27" i="25"/>
  <c r="C50" i="18"/>
  <c r="G175" i="21"/>
  <c r="G911"/>
  <c r="G623"/>
  <c r="F697"/>
  <c r="G1135"/>
  <c r="F1049"/>
  <c r="F665"/>
  <c r="G399"/>
  <c r="G847"/>
  <c r="G463"/>
  <c r="G1071"/>
  <c r="G1007"/>
  <c r="F825"/>
  <c r="G447"/>
  <c r="G559"/>
  <c r="F217"/>
  <c r="F889"/>
  <c r="F473"/>
  <c r="F761"/>
  <c r="F505"/>
  <c r="G655"/>
  <c r="G1151"/>
  <c r="G751"/>
  <c r="F857"/>
  <c r="G687"/>
  <c r="G1039"/>
  <c r="G1055"/>
  <c r="G1087"/>
  <c r="G1023"/>
  <c r="G1133"/>
  <c r="B54" i="25"/>
  <c r="C77" i="18"/>
  <c r="G495" i="21"/>
  <c r="F409"/>
  <c r="G703"/>
  <c r="G685"/>
  <c r="B40" i="25"/>
  <c r="C63" i="18"/>
  <c r="G1037" i="21"/>
  <c r="B51" i="25"/>
  <c r="C74" i="18"/>
  <c r="F57" i="21"/>
  <c r="F1081"/>
  <c r="G1069"/>
  <c r="B52" i="25"/>
  <c r="C75" i="18"/>
  <c r="F1017" i="21"/>
  <c r="F1145"/>
  <c r="F185"/>
  <c r="G1199"/>
  <c r="G527"/>
  <c r="F441"/>
  <c r="G1167"/>
  <c r="G557"/>
  <c r="B36" i="25"/>
  <c r="C59" i="18"/>
  <c r="G191" i="21"/>
  <c r="G173"/>
  <c r="B24" i="25"/>
  <c r="C47" i="18"/>
  <c r="F1209" i="21"/>
  <c r="F633"/>
  <c r="G431"/>
  <c r="G575"/>
  <c r="G205"/>
  <c r="B25" i="25"/>
  <c r="C48" i="18"/>
  <c r="F1213" i="21"/>
  <c r="G1213"/>
  <c r="B1219"/>
  <c r="F1181"/>
  <c r="G1181"/>
  <c r="B1187"/>
  <c r="F1117"/>
  <c r="G1117"/>
  <c r="B1123"/>
  <c r="F1053"/>
  <c r="G1053"/>
  <c r="B1059"/>
  <c r="F1021"/>
  <c r="G1021"/>
  <c r="B1027"/>
  <c r="F925"/>
  <c r="G925"/>
  <c r="B931"/>
  <c r="F893"/>
  <c r="G893"/>
  <c r="B899"/>
  <c r="G863"/>
  <c r="B867"/>
  <c r="G781"/>
  <c r="B43" i="25"/>
  <c r="C66" i="18"/>
  <c r="B803" i="21"/>
  <c r="F637"/>
  <c r="G637"/>
  <c r="B643"/>
  <c r="F541"/>
  <c r="G541"/>
  <c r="B547"/>
  <c r="G543"/>
  <c r="F509"/>
  <c r="G509"/>
  <c r="B515"/>
  <c r="G479"/>
  <c r="B483"/>
  <c r="F413"/>
  <c r="G413"/>
  <c r="B419"/>
  <c r="F381"/>
  <c r="G381"/>
  <c r="B387"/>
  <c r="F157"/>
  <c r="G157"/>
  <c r="B163"/>
  <c r="G159"/>
  <c r="F125"/>
  <c r="G125"/>
  <c r="B131"/>
  <c r="G109"/>
  <c r="B22" i="25"/>
  <c r="C45" i="18"/>
  <c r="F93" i="21"/>
  <c r="G93"/>
  <c r="B99"/>
  <c r="G45"/>
  <c r="B20" i="25"/>
  <c r="C43" i="18"/>
  <c r="F733" i="21"/>
  <c r="G733"/>
  <c r="F61"/>
  <c r="G61"/>
  <c r="G639"/>
  <c r="G525"/>
  <c r="B35" i="25"/>
  <c r="C58" i="18"/>
  <c r="G1101" i="21"/>
  <c r="B53" i="25"/>
  <c r="C76" i="18"/>
  <c r="G1119" i="21"/>
  <c r="G127"/>
  <c r="G63"/>
  <c r="G927"/>
  <c r="G895"/>
  <c r="G909"/>
  <c r="B47" i="25"/>
  <c r="C70" i="18"/>
  <c r="G383" i="21"/>
  <c r="G877"/>
  <c r="B46" i="25"/>
  <c r="C69" i="18"/>
  <c r="G365" i="21"/>
  <c r="B30" i="25"/>
  <c r="C53" i="18"/>
  <c r="G671" i="21"/>
  <c r="G653"/>
  <c r="B39" i="25"/>
  <c r="C62" i="18"/>
  <c r="G621" i="21"/>
  <c r="B38" i="25"/>
  <c r="C61" i="18"/>
  <c r="G1197" i="21"/>
  <c r="B56" i="25"/>
  <c r="C79" i="18"/>
  <c r="G1005" i="21"/>
  <c r="B50" i="25"/>
  <c r="C73" i="18"/>
  <c r="G319" i="21"/>
  <c r="G141"/>
  <c r="B23" i="25"/>
  <c r="C46" i="18"/>
  <c r="G301" i="21"/>
  <c r="B28" i="25"/>
  <c r="C51" i="18"/>
  <c r="G415" i="21"/>
  <c r="G493"/>
  <c r="B34" i="25"/>
  <c r="C57" i="18"/>
  <c r="G397" i="21"/>
  <c r="B31" i="25"/>
  <c r="C54" i="18"/>
  <c r="G511" i="21"/>
  <c r="G95"/>
  <c r="G735"/>
  <c r="G717"/>
  <c r="B41" i="25"/>
  <c r="C64" i="18"/>
  <c r="F797" i="21"/>
  <c r="G797"/>
  <c r="G1183"/>
  <c r="G77"/>
  <c r="B21" i="25"/>
  <c r="C44" i="18"/>
  <c r="G799" i="21"/>
  <c r="G1165"/>
  <c r="B55" i="25"/>
  <c r="C78" i="18"/>
  <c r="F765" i="21"/>
  <c r="G765"/>
  <c r="G975"/>
  <c r="F989"/>
  <c r="G989"/>
  <c r="G223"/>
  <c r="F221"/>
  <c r="G221"/>
  <c r="F669"/>
  <c r="G669"/>
  <c r="F345"/>
  <c r="F349"/>
  <c r="G349"/>
  <c r="G845"/>
  <c r="B45" i="25"/>
  <c r="C68" i="18"/>
  <c r="F861" i="21"/>
  <c r="G861"/>
  <c r="G831"/>
  <c r="F829"/>
  <c r="G829"/>
  <c r="F477"/>
  <c r="G477"/>
  <c r="G333"/>
  <c r="B29" i="25"/>
  <c r="C52" i="18"/>
  <c r="G303" i="21"/>
  <c r="F317"/>
  <c r="G317"/>
  <c r="G239"/>
  <c r="F253"/>
  <c r="G253"/>
  <c r="G813"/>
  <c r="B44" i="25"/>
  <c r="C67" i="18"/>
  <c r="G767" i="21"/>
  <c r="G461"/>
  <c r="B33" i="25"/>
  <c r="C56" i="18"/>
  <c r="G351" i="21"/>
  <c r="G749"/>
  <c r="B42" i="25"/>
  <c r="C65" i="18"/>
  <c r="G237" i="21"/>
  <c r="B26" i="25"/>
  <c r="C49" i="18"/>
  <c r="G207" i="21"/>
  <c r="G255"/>
  <c r="F249"/>
  <c r="G973"/>
  <c r="B49" i="25"/>
  <c r="C72" i="18"/>
  <c r="G991" i="21"/>
  <c r="F985"/>
  <c r="K79" i="12"/>
  <c r="K78"/>
  <c r="K77"/>
  <c r="K74"/>
  <c r="K73"/>
  <c r="K72"/>
  <c r="K71"/>
  <c r="B94" i="13"/>
  <c r="B95"/>
  <c r="B96"/>
  <c r="E19" i="18"/>
  <c r="B87" i="25"/>
  <c r="G127" i="13"/>
  <c r="B128"/>
  <c r="C128"/>
  <c r="D128"/>
  <c r="B129"/>
  <c r="C129"/>
  <c r="D129"/>
  <c r="B130"/>
  <c r="C130"/>
  <c r="D130"/>
  <c r="K105" i="12"/>
  <c r="L105"/>
  <c r="M105"/>
  <c r="N105"/>
  <c r="K106"/>
  <c r="L106"/>
  <c r="M106"/>
  <c r="N106"/>
  <c r="K107"/>
  <c r="L107"/>
  <c r="M107"/>
  <c r="N107"/>
  <c r="J106"/>
  <c r="J107"/>
  <c r="J105"/>
  <c r="K104"/>
  <c r="L104"/>
  <c r="M104"/>
  <c r="N104"/>
  <c r="J104"/>
  <c r="D107"/>
  <c r="D105"/>
  <c r="D104"/>
  <c r="F116" i="13"/>
  <c r="F119"/>
  <c r="C19" i="29"/>
  <c r="C12"/>
  <c r="C13"/>
  <c r="C9"/>
  <c r="C8"/>
  <c r="F15"/>
  <c r="F14"/>
  <c r="F20"/>
  <c r="O14"/>
  <c r="F10"/>
  <c r="F13"/>
  <c r="C11"/>
  <c r="F17"/>
  <c r="F8"/>
  <c r="F16"/>
  <c r="F9"/>
  <c r="F18"/>
  <c r="F19"/>
  <c r="F21"/>
  <c r="B86" i="25"/>
  <c r="B67"/>
  <c r="A22"/>
  <c r="B45" i="18"/>
  <c r="A19" i="25"/>
  <c r="B42" i="18"/>
  <c r="B105" i="12"/>
  <c r="B62" i="25"/>
  <c r="N85" i="12"/>
  <c r="E113" i="18"/>
  <c r="C16" i="25"/>
  <c r="G131" i="13"/>
  <c r="H131"/>
  <c r="I131"/>
  <c r="J131"/>
  <c r="K131"/>
  <c r="L131"/>
  <c r="B107" i="12"/>
  <c r="B106"/>
  <c r="B104"/>
  <c r="J85"/>
  <c r="D44"/>
  <c r="K127" i="13"/>
  <c r="E131"/>
  <c r="F131"/>
  <c r="G27" i="12"/>
  <c r="O71"/>
  <c r="O72"/>
  <c r="O73"/>
  <c r="O74"/>
  <c r="I75"/>
  <c r="K75"/>
  <c r="O75"/>
  <c r="K76"/>
  <c r="O76"/>
  <c r="O77"/>
  <c r="O78"/>
  <c r="O79"/>
  <c r="L127" i="13"/>
  <c r="J127"/>
  <c r="C52"/>
  <c r="C55"/>
  <c r="E222"/>
  <c r="B209"/>
  <c r="E223"/>
  <c r="B210"/>
  <c r="E224"/>
  <c r="B211"/>
  <c r="E219"/>
  <c r="B206"/>
  <c r="E220"/>
  <c r="B207"/>
  <c r="E221"/>
  <c r="B208"/>
  <c r="E4" i="22"/>
  <c r="F4"/>
  <c r="G4"/>
  <c r="H4"/>
  <c r="K4"/>
  <c r="L4"/>
  <c r="M4"/>
  <c r="N4"/>
  <c r="Q4"/>
  <c r="R4"/>
  <c r="S4"/>
  <c r="T4"/>
  <c r="E5"/>
  <c r="F5"/>
  <c r="G5"/>
  <c r="H5"/>
  <c r="K5"/>
  <c r="L5"/>
  <c r="M5"/>
  <c r="N5"/>
  <c r="Q5"/>
  <c r="R5"/>
  <c r="S5"/>
  <c r="T5"/>
  <c r="E6"/>
  <c r="F6"/>
  <c r="G6"/>
  <c r="H6"/>
  <c r="K6"/>
  <c r="L6"/>
  <c r="M6"/>
  <c r="N6"/>
  <c r="Q6"/>
  <c r="R6"/>
  <c r="S6"/>
  <c r="T6"/>
  <c r="E7"/>
  <c r="F7"/>
  <c r="G7"/>
  <c r="H7"/>
  <c r="K7"/>
  <c r="L7"/>
  <c r="M7"/>
  <c r="N7"/>
  <c r="Q7"/>
  <c r="R7"/>
  <c r="S7"/>
  <c r="T7"/>
  <c r="E8"/>
  <c r="F8"/>
  <c r="G8"/>
  <c r="H8"/>
  <c r="K8"/>
  <c r="L8"/>
  <c r="M8"/>
  <c r="N8"/>
  <c r="Q8"/>
  <c r="R8"/>
  <c r="S8"/>
  <c r="T8"/>
  <c r="E9"/>
  <c r="F9"/>
  <c r="G9"/>
  <c r="H9"/>
  <c r="K9"/>
  <c r="L9"/>
  <c r="M9"/>
  <c r="N9"/>
  <c r="Q9"/>
  <c r="R9"/>
  <c r="S9"/>
  <c r="T9"/>
  <c r="E10"/>
  <c r="F10"/>
  <c r="G10"/>
  <c r="H10"/>
  <c r="K10"/>
  <c r="L10"/>
  <c r="M10"/>
  <c r="N10"/>
  <c r="Q10"/>
  <c r="R10"/>
  <c r="S10"/>
  <c r="T10"/>
  <c r="E11"/>
  <c r="F11"/>
  <c r="G11"/>
  <c r="H11"/>
  <c r="K11"/>
  <c r="L11"/>
  <c r="M11"/>
  <c r="N11"/>
  <c r="Q11"/>
  <c r="R11"/>
  <c r="S11"/>
  <c r="T11"/>
  <c r="E12"/>
  <c r="F12"/>
  <c r="G12"/>
  <c r="H12"/>
  <c r="K12"/>
  <c r="L12"/>
  <c r="M12"/>
  <c r="N12"/>
  <c r="Q12"/>
  <c r="R12"/>
  <c r="S12"/>
  <c r="T12"/>
  <c r="E13"/>
  <c r="F13"/>
  <c r="G13"/>
  <c r="H13"/>
  <c r="K13"/>
  <c r="L13"/>
  <c r="M13"/>
  <c r="N13"/>
  <c r="Q13"/>
  <c r="R13"/>
  <c r="S13"/>
  <c r="T13"/>
  <c r="E14"/>
  <c r="F14"/>
  <c r="G14"/>
  <c r="H14"/>
  <c r="K14"/>
  <c r="L14"/>
  <c r="M14"/>
  <c r="N14"/>
  <c r="Q14"/>
  <c r="R14"/>
  <c r="S14"/>
  <c r="T14"/>
  <c r="E15"/>
  <c r="F15"/>
  <c r="G15"/>
  <c r="H15"/>
  <c r="K15"/>
  <c r="L15"/>
  <c r="M15"/>
  <c r="N15"/>
  <c r="Q15"/>
  <c r="R15"/>
  <c r="S15"/>
  <c r="T15"/>
  <c r="E16"/>
  <c r="F16"/>
  <c r="G16"/>
  <c r="H16"/>
  <c r="K16"/>
  <c r="L16"/>
  <c r="M16"/>
  <c r="N16"/>
  <c r="Q16"/>
  <c r="R16"/>
  <c r="S16"/>
  <c r="T16"/>
  <c r="E18"/>
  <c r="F18"/>
  <c r="G18"/>
  <c r="H18"/>
  <c r="K18"/>
  <c r="L18"/>
  <c r="M18"/>
  <c r="N18"/>
  <c r="Q18"/>
  <c r="R18"/>
  <c r="S18"/>
  <c r="T18"/>
  <c r="E19"/>
  <c r="F19"/>
  <c r="G19"/>
  <c r="H19"/>
  <c r="K19"/>
  <c r="L19"/>
  <c r="M19"/>
  <c r="N19"/>
  <c r="Q19"/>
  <c r="R19"/>
  <c r="S19"/>
  <c r="T19"/>
  <c r="E20"/>
  <c r="F20"/>
  <c r="G20"/>
  <c r="H20"/>
  <c r="K20"/>
  <c r="L20"/>
  <c r="M20"/>
  <c r="N20"/>
  <c r="Q20"/>
  <c r="R20"/>
  <c r="S20"/>
  <c r="T20"/>
  <c r="E21"/>
  <c r="F21"/>
  <c r="G21"/>
  <c r="H21"/>
  <c r="K21"/>
  <c r="L21"/>
  <c r="M21"/>
  <c r="N21"/>
  <c r="Q21"/>
  <c r="R21"/>
  <c r="S21"/>
  <c r="T21"/>
  <c r="E22"/>
  <c r="F22"/>
  <c r="G22"/>
  <c r="H22"/>
  <c r="K22"/>
  <c r="L22"/>
  <c r="M22"/>
  <c r="N22"/>
  <c r="Q22"/>
  <c r="R22"/>
  <c r="S22"/>
  <c r="T22"/>
  <c r="E23"/>
  <c r="F23"/>
  <c r="G23"/>
  <c r="H23"/>
  <c r="K23"/>
  <c r="L23"/>
  <c r="M23"/>
  <c r="N23"/>
  <c r="Q23"/>
  <c r="R23"/>
  <c r="S23"/>
  <c r="T23"/>
  <c r="E24"/>
  <c r="F24"/>
  <c r="G24"/>
  <c r="H24"/>
  <c r="K24"/>
  <c r="L24"/>
  <c r="M24"/>
  <c r="N24"/>
  <c r="Q24"/>
  <c r="R24"/>
  <c r="S24"/>
  <c r="T24"/>
  <c r="E25"/>
  <c r="F25"/>
  <c r="G25"/>
  <c r="H25"/>
  <c r="K25"/>
  <c r="L25"/>
  <c r="M25"/>
  <c r="N25"/>
  <c r="Q25"/>
  <c r="R25"/>
  <c r="S25"/>
  <c r="T25"/>
  <c r="E26"/>
  <c r="F26"/>
  <c r="G26"/>
  <c r="H26"/>
  <c r="K26"/>
  <c r="L26"/>
  <c r="M26"/>
  <c r="N26"/>
  <c r="Q26"/>
  <c r="R26"/>
  <c r="S26"/>
  <c r="T26"/>
  <c r="E27"/>
  <c r="F27"/>
  <c r="G27"/>
  <c r="H27"/>
  <c r="K27"/>
  <c r="L27"/>
  <c r="M27"/>
  <c r="N27"/>
  <c r="Q27"/>
  <c r="R27"/>
  <c r="S27"/>
  <c r="T27"/>
  <c r="E28"/>
  <c r="F28"/>
  <c r="G28"/>
  <c r="H28"/>
  <c r="K28"/>
  <c r="L28"/>
  <c r="M28"/>
  <c r="N28"/>
  <c r="Q28"/>
  <c r="R28"/>
  <c r="S28"/>
  <c r="T28"/>
  <c r="E29"/>
  <c r="F29"/>
  <c r="G29"/>
  <c r="H29"/>
  <c r="K29"/>
  <c r="L29"/>
  <c r="M29"/>
  <c r="N29"/>
  <c r="Q29"/>
  <c r="R29"/>
  <c r="S29"/>
  <c r="T29"/>
  <c r="E30"/>
  <c r="F30"/>
  <c r="G30"/>
  <c r="H30"/>
  <c r="K30"/>
  <c r="L30"/>
  <c r="M30"/>
  <c r="N30"/>
  <c r="Q30"/>
  <c r="R30"/>
  <c r="S30"/>
  <c r="T30"/>
  <c r="E32"/>
  <c r="F32"/>
  <c r="G32"/>
  <c r="H32"/>
  <c r="K32"/>
  <c r="L32"/>
  <c r="M32"/>
  <c r="N32"/>
  <c r="Q32"/>
  <c r="R32"/>
  <c r="S32"/>
  <c r="T32"/>
  <c r="E33"/>
  <c r="F33"/>
  <c r="G33"/>
  <c r="H33"/>
  <c r="K33"/>
  <c r="L33"/>
  <c r="M33"/>
  <c r="N33"/>
  <c r="Q33"/>
  <c r="R33"/>
  <c r="S33"/>
  <c r="T33"/>
  <c r="E34"/>
  <c r="F34"/>
  <c r="G34"/>
  <c r="H34"/>
  <c r="K34"/>
  <c r="L34"/>
  <c r="M34"/>
  <c r="N34"/>
  <c r="Q34"/>
  <c r="R34"/>
  <c r="S34"/>
  <c r="T34"/>
  <c r="E35"/>
  <c r="F35"/>
  <c r="G35"/>
  <c r="H35"/>
  <c r="K35"/>
  <c r="L35"/>
  <c r="M35"/>
  <c r="N35"/>
  <c r="Q35"/>
  <c r="R35"/>
  <c r="S35"/>
  <c r="T35"/>
  <c r="E36"/>
  <c r="F36"/>
  <c r="G36"/>
  <c r="H36"/>
  <c r="K36"/>
  <c r="L36"/>
  <c r="M36"/>
  <c r="N36"/>
  <c r="Q36"/>
  <c r="R36"/>
  <c r="S36"/>
  <c r="T36"/>
  <c r="E37"/>
  <c r="F37"/>
  <c r="G37"/>
  <c r="H37"/>
  <c r="K37"/>
  <c r="L37"/>
  <c r="M37"/>
  <c r="N37"/>
  <c r="Q37"/>
  <c r="R37"/>
  <c r="S37"/>
  <c r="T37"/>
  <c r="E38"/>
  <c r="F38"/>
  <c r="G38"/>
  <c r="H38"/>
  <c r="K38"/>
  <c r="L38"/>
  <c r="M38"/>
  <c r="N38"/>
  <c r="Q38"/>
  <c r="R38"/>
  <c r="S38"/>
  <c r="T38"/>
  <c r="E39"/>
  <c r="F39"/>
  <c r="G39"/>
  <c r="H39"/>
  <c r="K39"/>
  <c r="L39"/>
  <c r="M39"/>
  <c r="N39"/>
  <c r="Q39"/>
  <c r="R39"/>
  <c r="S39"/>
  <c r="T39"/>
  <c r="E40"/>
  <c r="F40"/>
  <c r="G40"/>
  <c r="H40"/>
  <c r="K40"/>
  <c r="L40"/>
  <c r="M40"/>
  <c r="N40"/>
  <c r="Q40"/>
  <c r="R40"/>
  <c r="S40"/>
  <c r="T40"/>
  <c r="E41"/>
  <c r="F41"/>
  <c r="G41"/>
  <c r="H41"/>
  <c r="K41"/>
  <c r="L41"/>
  <c r="M41"/>
  <c r="N41"/>
  <c r="Q41"/>
  <c r="R41"/>
  <c r="S41"/>
  <c r="T41"/>
  <c r="E42"/>
  <c r="F42"/>
  <c r="G42"/>
  <c r="H42"/>
  <c r="K42"/>
  <c r="L42"/>
  <c r="M42"/>
  <c r="N42"/>
  <c r="Q42"/>
  <c r="R42"/>
  <c r="S42"/>
  <c r="T42"/>
  <c r="E43"/>
  <c r="F43"/>
  <c r="G43"/>
  <c r="H43"/>
  <c r="K43"/>
  <c r="L43"/>
  <c r="M43"/>
  <c r="N43"/>
  <c r="Q43"/>
  <c r="R43"/>
  <c r="S43"/>
  <c r="T43"/>
  <c r="E44"/>
  <c r="F44"/>
  <c r="G44"/>
  <c r="H44"/>
  <c r="K44"/>
  <c r="L44"/>
  <c r="M44"/>
  <c r="N44"/>
  <c r="Q44"/>
  <c r="R44"/>
  <c r="S44"/>
  <c r="T44"/>
  <c r="E49"/>
  <c r="F49"/>
  <c r="I49"/>
  <c r="J49"/>
  <c r="M49"/>
  <c r="N49"/>
  <c r="E50"/>
  <c r="F50"/>
  <c r="I50"/>
  <c r="J50"/>
  <c r="M50"/>
  <c r="N50"/>
  <c r="E51"/>
  <c r="F51"/>
  <c r="I51"/>
  <c r="J51"/>
  <c r="M51"/>
  <c r="N51"/>
  <c r="E52"/>
  <c r="F52"/>
  <c r="I52"/>
  <c r="J52"/>
  <c r="M52"/>
  <c r="N52"/>
  <c r="E53"/>
  <c r="F53"/>
  <c r="I53"/>
  <c r="J53"/>
  <c r="M53"/>
  <c r="N53"/>
  <c r="E54"/>
  <c r="F54"/>
  <c r="I54"/>
  <c r="J54"/>
  <c r="M54"/>
  <c r="N54"/>
  <c r="E55"/>
  <c r="F55"/>
  <c r="I55"/>
  <c r="J55"/>
  <c r="M55"/>
  <c r="N55"/>
  <c r="E56"/>
  <c r="F56"/>
  <c r="I56"/>
  <c r="J56"/>
  <c r="M56"/>
  <c r="N56"/>
  <c r="E57"/>
  <c r="F57"/>
  <c r="I57"/>
  <c r="J57"/>
  <c r="M57"/>
  <c r="N57"/>
  <c r="E58"/>
  <c r="F58"/>
  <c r="I58"/>
  <c r="J58"/>
  <c r="M58"/>
  <c r="N58"/>
  <c r="E59"/>
  <c r="F59"/>
  <c r="I59"/>
  <c r="J59"/>
  <c r="M59"/>
  <c r="N59"/>
  <c r="E60"/>
  <c r="F60"/>
  <c r="I60"/>
  <c r="J60"/>
  <c r="M60"/>
  <c r="N60"/>
  <c r="E61"/>
  <c r="F61"/>
  <c r="I61"/>
  <c r="J61"/>
  <c r="M61"/>
  <c r="N61"/>
  <c r="E63"/>
  <c r="F63"/>
  <c r="I63"/>
  <c r="J63"/>
  <c r="M63"/>
  <c r="N63"/>
  <c r="E64"/>
  <c r="F64"/>
  <c r="I64"/>
  <c r="J64"/>
  <c r="M64"/>
  <c r="N64"/>
  <c r="E65"/>
  <c r="F65"/>
  <c r="I65"/>
  <c r="J65"/>
  <c r="M65"/>
  <c r="N65"/>
  <c r="E66"/>
  <c r="F66"/>
  <c r="I66"/>
  <c r="J66"/>
  <c r="M66"/>
  <c r="N66"/>
  <c r="E67"/>
  <c r="F67"/>
  <c r="I67"/>
  <c r="J67"/>
  <c r="M67"/>
  <c r="N67"/>
  <c r="E68"/>
  <c r="F68"/>
  <c r="I68"/>
  <c r="J68"/>
  <c r="M68"/>
  <c r="N68"/>
  <c r="E69"/>
  <c r="F69"/>
  <c r="I69"/>
  <c r="J69"/>
  <c r="M69"/>
  <c r="N69"/>
  <c r="E70"/>
  <c r="F70"/>
  <c r="I70"/>
  <c r="J70"/>
  <c r="M70"/>
  <c r="N70"/>
  <c r="E71"/>
  <c r="F71"/>
  <c r="I71"/>
  <c r="J71"/>
  <c r="M71"/>
  <c r="N71"/>
  <c r="E72"/>
  <c r="F72"/>
  <c r="I72"/>
  <c r="J72"/>
  <c r="M72"/>
  <c r="N72"/>
  <c r="E73"/>
  <c r="F73"/>
  <c r="I73"/>
  <c r="J73"/>
  <c r="M73"/>
  <c r="N73"/>
  <c r="E74"/>
  <c r="F74"/>
  <c r="I74"/>
  <c r="J74"/>
  <c r="M74"/>
  <c r="N74"/>
  <c r="E75"/>
  <c r="F75"/>
  <c r="I75"/>
  <c r="J75"/>
  <c r="M75"/>
  <c r="N75"/>
  <c r="E77"/>
  <c r="F77"/>
  <c r="I77"/>
  <c r="J77"/>
  <c r="M77"/>
  <c r="N77"/>
  <c r="E78"/>
  <c r="F78"/>
  <c r="I78"/>
  <c r="J78"/>
  <c r="M78"/>
  <c r="N78"/>
  <c r="E79"/>
  <c r="F79"/>
  <c r="I79"/>
  <c r="J79"/>
  <c r="M79"/>
  <c r="N79"/>
  <c r="E80"/>
  <c r="F80"/>
  <c r="I80"/>
  <c r="J80"/>
  <c r="M80"/>
  <c r="N80"/>
  <c r="E81"/>
  <c r="F81"/>
  <c r="I81"/>
  <c r="J81"/>
  <c r="M81"/>
  <c r="N81"/>
  <c r="E82"/>
  <c r="F82"/>
  <c r="I82"/>
  <c r="J82"/>
  <c r="M82"/>
  <c r="N82"/>
  <c r="E83"/>
  <c r="F83"/>
  <c r="I83"/>
  <c r="J83"/>
  <c r="M83"/>
  <c r="N83"/>
  <c r="E84"/>
  <c r="F84"/>
  <c r="I84"/>
  <c r="J84"/>
  <c r="M84"/>
  <c r="N84"/>
  <c r="E85"/>
  <c r="F85"/>
  <c r="I85"/>
  <c r="J85"/>
  <c r="M85"/>
  <c r="N85"/>
  <c r="E86"/>
  <c r="F86"/>
  <c r="I86"/>
  <c r="J86"/>
  <c r="M86"/>
  <c r="N86"/>
  <c r="E87"/>
  <c r="F87"/>
  <c r="I87"/>
  <c r="J87"/>
  <c r="M87"/>
  <c r="N87"/>
  <c r="E88"/>
  <c r="F88"/>
  <c r="I88"/>
  <c r="J88"/>
  <c r="M88"/>
  <c r="N88"/>
  <c r="E89"/>
  <c r="F89"/>
  <c r="I89"/>
  <c r="J89"/>
  <c r="M89"/>
  <c r="N89"/>
  <c r="A35" i="21"/>
  <c r="C62" i="13"/>
  <c r="C57"/>
  <c r="L62"/>
  <c r="C60"/>
  <c r="L18" i="12"/>
  <c r="L22"/>
  <c r="L26"/>
  <c r="L19"/>
  <c r="L23"/>
  <c r="L27"/>
  <c r="L20"/>
  <c r="L24"/>
  <c r="L28"/>
  <c r="L21"/>
  <c r="L25"/>
  <c r="L32"/>
  <c r="C61" i="13"/>
  <c r="E16"/>
  <c r="G11" i="21"/>
  <c r="B35"/>
  <c r="B85" i="25"/>
  <c r="G15" i="21"/>
  <c r="H53" i="13"/>
  <c r="D55" i="12"/>
  <c r="D50"/>
  <c r="D51"/>
  <c r="G3" i="21"/>
  <c r="G31"/>
  <c r="F25"/>
  <c r="G13"/>
  <c r="B19" i="25"/>
  <c r="C42" i="18"/>
  <c r="F29" i="21"/>
  <c r="G29"/>
  <c r="E111" i="18"/>
  <c r="B16" i="13"/>
  <c r="E14"/>
  <c r="I57" i="12"/>
  <c r="I12" i="13"/>
  <c r="H58"/>
  <c r="E85"/>
  <c r="K225"/>
  <c r="G225"/>
  <c r="F225"/>
  <c r="J225"/>
  <c r="I225"/>
  <c r="H225"/>
  <c r="E225"/>
  <c r="I8"/>
  <c r="D225"/>
  <c r="C225"/>
  <c r="B225"/>
  <c r="N135"/>
  <c r="P135"/>
  <c r="R135"/>
  <c r="T135"/>
  <c r="V135"/>
  <c r="X135"/>
  <c r="Z135"/>
  <c r="M159"/>
  <c r="O159"/>
  <c r="Q159"/>
  <c r="S159"/>
  <c r="U159"/>
  <c r="W159"/>
  <c r="Y159"/>
  <c r="N174"/>
  <c r="P174"/>
  <c r="R174"/>
  <c r="T174"/>
  <c r="V174"/>
  <c r="X174"/>
  <c r="M187"/>
  <c r="O187"/>
  <c r="Q187"/>
  <c r="S187"/>
  <c r="U187"/>
  <c r="W187"/>
  <c r="Y187"/>
  <c r="O135"/>
  <c r="Q135"/>
  <c r="S135"/>
  <c r="U135"/>
  <c r="W135"/>
  <c r="Y135"/>
  <c r="AA135"/>
  <c r="N159"/>
  <c r="P159"/>
  <c r="R159"/>
  <c r="T159"/>
  <c r="V159"/>
  <c r="X159"/>
  <c r="M174"/>
  <c r="O174"/>
  <c r="Q174"/>
  <c r="S174"/>
  <c r="U174"/>
  <c r="W174"/>
  <c r="Y174"/>
  <c r="N187"/>
  <c r="P187"/>
  <c r="R187"/>
  <c r="T187"/>
  <c r="V187"/>
  <c r="X187"/>
  <c r="M135"/>
  <c r="B140"/>
  <c r="L187"/>
  <c r="J187"/>
  <c r="H187"/>
  <c r="F187"/>
  <c r="K187"/>
  <c r="I187"/>
  <c r="G187"/>
  <c r="E187"/>
  <c r="C187"/>
  <c r="D187"/>
  <c r="E174"/>
  <c r="K174"/>
  <c r="I174"/>
  <c r="G174"/>
  <c r="B135"/>
  <c r="L159"/>
  <c r="J159"/>
  <c r="H159"/>
  <c r="F159"/>
  <c r="D159"/>
  <c r="B187"/>
  <c r="L174"/>
  <c r="J174"/>
  <c r="H174"/>
  <c r="F174"/>
  <c r="B159"/>
  <c r="K159"/>
  <c r="I159"/>
  <c r="G159"/>
  <c r="E159"/>
  <c r="C159"/>
  <c r="C174"/>
  <c r="D174"/>
  <c r="B174"/>
  <c r="H135"/>
  <c r="E29" i="18"/>
  <c r="G8" i="12"/>
  <c r="E108" i="18"/>
  <c r="I58" i="12"/>
  <c r="I59"/>
  <c r="H59" i="13"/>
  <c r="E4" i="12"/>
  <c r="L135" i="13"/>
  <c r="J135"/>
  <c r="G135"/>
  <c r="E135"/>
  <c r="K135"/>
  <c r="I135"/>
  <c r="F135"/>
  <c r="D135"/>
  <c r="C135"/>
  <c r="I14"/>
  <c r="B4" i="12"/>
  <c r="B8"/>
  <c r="F8"/>
  <c r="B69" i="25"/>
  <c r="C49" i="20"/>
  <c r="C79"/>
  <c r="C48"/>
  <c r="C78"/>
  <c r="C47"/>
  <c r="C77"/>
  <c r="C46"/>
  <c r="C76"/>
  <c r="C45"/>
  <c r="C75"/>
  <c r="C44"/>
  <c r="C74"/>
  <c r="C43"/>
  <c r="C73"/>
  <c r="C42"/>
  <c r="C72"/>
  <c r="C41"/>
  <c r="C71"/>
  <c r="C40"/>
  <c r="C70"/>
  <c r="C38"/>
  <c r="C68"/>
  <c r="C37"/>
  <c r="C67"/>
  <c r="C36"/>
  <c r="C66"/>
  <c r="C35"/>
  <c r="C65"/>
  <c r="F35"/>
  <c r="F65"/>
  <c r="C34"/>
  <c r="C64"/>
  <c r="C33"/>
  <c r="C63"/>
  <c r="C32"/>
  <c r="C62"/>
  <c r="C31"/>
  <c r="C61"/>
  <c r="C30"/>
  <c r="C60"/>
  <c r="C29"/>
  <c r="C59"/>
  <c r="C27"/>
  <c r="C57"/>
  <c r="C28"/>
  <c r="C58"/>
  <c r="C26"/>
  <c r="C56"/>
  <c r="F26"/>
  <c r="F56"/>
  <c r="R26"/>
  <c r="R27"/>
  <c r="R28"/>
  <c r="R29"/>
  <c r="R30"/>
  <c r="R31"/>
  <c r="R32"/>
  <c r="R33"/>
  <c r="R34"/>
  <c r="R35"/>
  <c r="R36"/>
  <c r="R37"/>
  <c r="R38"/>
  <c r="R39"/>
  <c r="R40"/>
  <c r="R41"/>
  <c r="R42"/>
  <c r="R43"/>
  <c r="R44"/>
  <c r="R45"/>
  <c r="R46"/>
  <c r="R47"/>
  <c r="R48"/>
  <c r="R49"/>
  <c r="F49"/>
  <c r="F79"/>
  <c r="F48"/>
  <c r="F78"/>
  <c r="F47"/>
  <c r="F77"/>
  <c r="F46"/>
  <c r="F76"/>
  <c r="F45"/>
  <c r="F75"/>
  <c r="F44"/>
  <c r="F74"/>
  <c r="F43"/>
  <c r="F73"/>
  <c r="F42"/>
  <c r="F72"/>
  <c r="F41"/>
  <c r="F71"/>
  <c r="F40"/>
  <c r="F70"/>
  <c r="F39"/>
  <c r="F69"/>
  <c r="F38"/>
  <c r="F68"/>
  <c r="F37"/>
  <c r="F67"/>
  <c r="F36"/>
  <c r="F66"/>
  <c r="F34"/>
  <c r="F64"/>
  <c r="F33"/>
  <c r="F63"/>
  <c r="F32"/>
  <c r="F62"/>
  <c r="F31"/>
  <c r="F61"/>
  <c r="F30"/>
  <c r="F60"/>
  <c r="F29"/>
  <c r="F59"/>
  <c r="F28"/>
  <c r="F58"/>
  <c r="F27"/>
  <c r="F57"/>
  <c r="R10"/>
  <c r="C8"/>
  <c r="E7"/>
  <c r="C5"/>
  <c r="E6"/>
  <c r="D8" i="12"/>
  <c r="D42"/>
  <c r="E107" i="18"/>
  <c r="L19" i="20"/>
  <c r="L73" i="12"/>
  <c r="P71"/>
  <c r="P73"/>
  <c r="L75"/>
  <c r="P76"/>
  <c r="D43"/>
  <c r="L79"/>
  <c r="P77"/>
  <c r="P79"/>
  <c r="L71"/>
  <c r="L74"/>
  <c r="P74"/>
  <c r="L72"/>
  <c r="P72"/>
  <c r="P78"/>
  <c r="P75"/>
  <c r="L78"/>
  <c r="D73" i="25"/>
  <c r="L77" i="12"/>
  <c r="L76"/>
  <c r="D62"/>
  <c r="B31"/>
  <c r="D59"/>
  <c r="B20"/>
  <c r="B22"/>
  <c r="D63"/>
  <c r="E91" i="18"/>
  <c r="D60" i="12"/>
  <c r="E92" i="18"/>
  <c r="E112"/>
  <c r="D22" i="12"/>
  <c r="D72" i="13"/>
  <c r="D74"/>
  <c r="B33" i="12"/>
  <c r="B35"/>
  <c r="D33"/>
  <c r="D35"/>
  <c r="D79" i="25"/>
  <c r="K30" i="15"/>
  <c r="K31"/>
  <c r="Q31"/>
  <c r="I55" i="12"/>
  <c r="B70" i="25"/>
  <c r="B83" i="13"/>
  <c r="E94" i="18"/>
  <c r="D53" i="12"/>
  <c r="D52"/>
  <c r="K40" i="15"/>
  <c r="K39"/>
  <c r="K38"/>
  <c r="E86" i="18"/>
  <c r="E96"/>
  <c r="K41" i="15"/>
  <c r="K42"/>
  <c r="K44"/>
  <c r="K45"/>
  <c r="K46"/>
  <c r="K47"/>
  <c r="E22" i="18"/>
  <c r="B89" i="25"/>
  <c r="B66"/>
  <c r="D78"/>
  <c r="K81" i="12"/>
  <c r="K82"/>
  <c r="B132" i="13"/>
  <c r="B133"/>
  <c r="B134"/>
  <c r="C132"/>
  <c r="C133"/>
  <c r="C134"/>
  <c r="D132"/>
  <c r="D133"/>
  <c r="D134"/>
  <c r="C131"/>
  <c r="D131"/>
  <c r="B131"/>
  <c r="K83" i="12"/>
  <c r="B11" i="25"/>
  <c r="B12"/>
  <c r="D56" i="12"/>
  <c r="H35" i="20"/>
  <c r="H43"/>
  <c r="H34"/>
  <c r="H42"/>
  <c r="H29"/>
  <c r="H37"/>
  <c r="H45"/>
  <c r="H28"/>
  <c r="H36"/>
  <c r="H44"/>
  <c r="H31"/>
  <c r="H39"/>
  <c r="H47"/>
  <c r="H30"/>
  <c r="H38"/>
  <c r="H46"/>
  <c r="H33"/>
  <c r="H41"/>
  <c r="H49"/>
  <c r="H32"/>
  <c r="H40"/>
  <c r="H48"/>
  <c r="H27"/>
  <c r="H73"/>
  <c r="H57"/>
  <c r="H64"/>
  <c r="H72"/>
  <c r="H65"/>
  <c r="H59"/>
  <c r="H67"/>
  <c r="H75"/>
  <c r="H58"/>
  <c r="H66"/>
  <c r="H61"/>
  <c r="H69"/>
  <c r="H77"/>
  <c r="H68"/>
  <c r="H76"/>
  <c r="H63"/>
  <c r="H71"/>
  <c r="H79"/>
  <c r="H62"/>
  <c r="H70"/>
  <c r="H78"/>
  <c r="H56"/>
  <c r="C39"/>
  <c r="C69"/>
  <c r="H26"/>
  <c r="J48"/>
  <c r="N48"/>
  <c r="J41"/>
  <c r="N41"/>
  <c r="J30"/>
  <c r="N30"/>
  <c r="J44"/>
  <c r="N44"/>
  <c r="J37"/>
  <c r="N37"/>
  <c r="J34"/>
  <c r="N34"/>
  <c r="J49"/>
  <c r="N49"/>
  <c r="J46"/>
  <c r="N46"/>
  <c r="J38"/>
  <c r="N38"/>
  <c r="J31"/>
  <c r="N31"/>
  <c r="J45"/>
  <c r="N45"/>
  <c r="J42"/>
  <c r="N42"/>
  <c r="J43"/>
  <c r="N43"/>
  <c r="J32"/>
  <c r="N32"/>
  <c r="J39"/>
  <c r="N39"/>
  <c r="J28"/>
  <c r="N28"/>
  <c r="J35"/>
  <c r="N35"/>
  <c r="J33"/>
  <c r="N33"/>
  <c r="J47"/>
  <c r="N47"/>
  <c r="J36"/>
  <c r="N36"/>
  <c r="J29"/>
  <c r="N29"/>
  <c r="J27"/>
  <c r="N27"/>
  <c r="J40"/>
  <c r="N40"/>
  <c r="H60"/>
  <c r="H74"/>
  <c r="J26"/>
  <c r="N26"/>
  <c r="O83" i="12"/>
  <c r="O81"/>
  <c r="O82"/>
  <c r="D45"/>
  <c r="E110" i="18"/>
  <c r="I16" i="13"/>
  <c r="B81"/>
  <c r="H84"/>
  <c r="D58" i="12"/>
  <c r="E109" i="18"/>
  <c r="D46" i="12"/>
  <c r="B10" i="25"/>
  <c r="H83" i="13"/>
  <c r="D81" i="25"/>
  <c r="B88"/>
  <c r="D48" i="12"/>
  <c r="B68" i="25"/>
  <c r="B71"/>
  <c r="H85" i="13"/>
  <c r="D61" i="12"/>
  <c r="O70"/>
  <c r="P83"/>
  <c r="K70"/>
  <c r="I81"/>
  <c r="N81"/>
  <c r="I83"/>
  <c r="L70"/>
  <c r="D24"/>
  <c r="B72" i="13"/>
  <c r="B74"/>
  <c r="B61" i="25"/>
  <c r="B63"/>
  <c r="P82" i="12"/>
  <c r="K85"/>
  <c r="P81"/>
  <c r="N83"/>
  <c r="L83"/>
  <c r="P70"/>
  <c r="D13"/>
  <c r="I82"/>
  <c r="N82"/>
  <c r="L82"/>
  <c r="M75"/>
  <c r="B11"/>
  <c r="D74" i="25"/>
  <c r="M82" i="12"/>
  <c r="M73"/>
  <c r="M76"/>
  <c r="M79"/>
  <c r="M74"/>
  <c r="M78"/>
  <c r="M77"/>
  <c r="M83"/>
  <c r="M71"/>
  <c r="M72"/>
  <c r="L85"/>
  <c r="B24"/>
  <c r="L81"/>
  <c r="B13"/>
  <c r="B67" i="13"/>
  <c r="M81" i="12"/>
  <c r="C13"/>
  <c r="H23"/>
  <c r="M26"/>
  <c r="N26"/>
  <c r="O26"/>
  <c r="H17"/>
  <c r="M20"/>
  <c r="N20"/>
  <c r="O20"/>
  <c r="H25"/>
  <c r="M28"/>
  <c r="N28"/>
  <c r="O28"/>
  <c r="H22"/>
  <c r="M25"/>
  <c r="N25"/>
  <c r="O25"/>
  <c r="H16"/>
  <c r="M19"/>
  <c r="N19"/>
  <c r="O19"/>
  <c r="H24"/>
  <c r="M27"/>
  <c r="N27"/>
  <c r="O27"/>
  <c r="H19"/>
  <c r="M22"/>
  <c r="N22"/>
  <c r="O22"/>
  <c r="H15"/>
  <c r="H21"/>
  <c r="M24"/>
  <c r="N24"/>
  <c r="O24"/>
  <c r="H18"/>
  <c r="M21"/>
  <c r="N21"/>
  <c r="O21"/>
  <c r="H26"/>
  <c r="M32"/>
  <c r="N32"/>
  <c r="O32"/>
  <c r="H20"/>
  <c r="M23"/>
  <c r="N23"/>
  <c r="O23"/>
  <c r="D76" i="25"/>
  <c r="D77"/>
  <c r="D80"/>
  <c r="D82"/>
  <c r="D83"/>
  <c r="M18" i="12"/>
  <c r="N18"/>
  <c r="O18"/>
  <c r="O39"/>
  <c r="H27"/>
  <c r="D26"/>
  <c r="D37"/>
  <c r="I24"/>
  <c r="I25"/>
  <c r="I17"/>
  <c r="I18"/>
  <c r="I21"/>
  <c r="I22"/>
  <c r="I16"/>
  <c r="I26"/>
  <c r="I15"/>
  <c r="I19"/>
  <c r="I20"/>
  <c r="I23"/>
</calcChain>
</file>

<file path=xl/comments1.xml><?xml version="1.0" encoding="utf-8"?>
<comments xmlns="http://schemas.openxmlformats.org/spreadsheetml/2006/main">
  <authors>
    <author>Graham Hendra</author>
  </authors>
  <commentList>
    <comment ref="D27" authorId="0">
      <text>
        <r>
          <rPr>
            <sz val="9"/>
            <color indexed="81"/>
            <rFont val="Tahoma"/>
            <family val="2"/>
          </rPr>
          <t xml:space="preserve">the design temperatures are set in MCS, this design temperature is altered 0.6C for every 100m above sea level.
</t>
        </r>
      </text>
    </comment>
    <comment ref="I28" authorId="0">
      <text>
        <r>
          <rPr>
            <sz val="9"/>
            <color indexed="81"/>
            <rFont val="Tahoma"/>
            <family val="2"/>
          </rPr>
          <t xml:space="preserve">We recommend a heating design temperature of 45°C for UFH and 50°C for radiators to keep the radiator size manageable.
</t>
        </r>
      </text>
    </comment>
  </commentList>
</comments>
</file>

<file path=xl/comments2.xml><?xml version="1.0" encoding="utf-8"?>
<comments xmlns="http://schemas.openxmlformats.org/spreadsheetml/2006/main">
  <authors>
    <author>Graham Hendra</author>
  </authors>
  <commentList>
    <comment ref="H40" authorId="0">
      <text>
        <r>
          <rPr>
            <sz val="9"/>
            <color indexed="81"/>
            <rFont val="Tahoma"/>
            <family val="2"/>
          </rPr>
          <t xml:space="preserve">To choose the correct heat pump you must select the unit which lies above the black House load line at all times up to and including the design temperature
</t>
        </r>
        <r>
          <rPr>
            <b/>
            <sz val="9"/>
            <color indexed="81"/>
            <rFont val="Tahoma"/>
            <family val="2"/>
          </rPr>
          <t>DON’T use the peak values</t>
        </r>
      </text>
    </comment>
    <comment ref="B47" authorId="0">
      <text>
        <r>
          <rPr>
            <sz val="9"/>
            <color indexed="81"/>
            <rFont val="Tahoma"/>
            <family val="2"/>
          </rPr>
          <t xml:space="preserve">Heat Pump Sizing
4.2.1d) A heat pump shall be selected that will provide at least 100% of the calculated design space heating power requirement at the selected internal and external temperatures in Tables 1 and 2, the selection being made after taking into consideration the flow temperature at the heat pump when it is doing space heating. Performance data from both the heat pump manufacturer and the emitter system designer should be provided to support the heat pump selection. Heat pump thermal power output for the purposes of this selection shall not include any heat supplied by a supplementary electric heater. Where clauses 4.2.1d and/or 4.2.1e cannot be met, then clause 4.2.1f shall apply.
e) When selecting an air source heat pump, the heat pump shall provide 100% of the calculated design space heating power requirement at the selected ambient temperature and emitter temperature, after the inclusion of any energy required for defrost cycles.
</t>
        </r>
      </text>
    </comment>
  </commentList>
</comments>
</file>

<file path=xl/comments3.xml><?xml version="1.0" encoding="utf-8"?>
<comments xmlns="http://schemas.openxmlformats.org/spreadsheetml/2006/main">
  <authors>
    <author>Graham Hendra</author>
  </authors>
  <commentList>
    <comment ref="D20" authorId="0">
      <text>
        <r>
          <rPr>
            <sz val="9"/>
            <color indexed="81"/>
            <rFont val="Tahoma"/>
            <family val="2"/>
          </rPr>
          <t xml:space="preserve">New builds will not get RHI, retro fit and self builds will. </t>
        </r>
      </text>
    </comment>
    <comment ref="D31" authorId="0">
      <text>
        <r>
          <rPr>
            <sz val="9"/>
            <color indexed="81"/>
            <rFont val="Tahoma"/>
            <family val="2"/>
          </rPr>
          <t xml:space="preserve">New builds will not get RHI, retro fit and self builds will. </t>
        </r>
      </text>
    </comment>
    <comment ref="I49" authorId="0">
      <text>
        <r>
          <rPr>
            <sz val="9"/>
            <color indexed="81"/>
            <rFont val="Tahoma"/>
            <family val="2"/>
          </rPr>
          <t xml:space="preserve">Where the number of circulation pumps exceeds two, the electricity costs associated with the operation of the collector and emitter pumpsneeds to be calculated. This extra run cost will be shown in the box below 
</t>
        </r>
      </text>
    </comment>
    <comment ref="A127" authorId="0">
      <text>
        <r>
          <rPr>
            <sz val="9"/>
            <color indexed="81"/>
            <rFont val="Tahoma"/>
            <family val="2"/>
          </rPr>
          <t xml:space="preserve">From MIS3005 v4.1: For installations where other heat sources are available to the same building, the heat sources shall be fully and correctly integrated into a single control system. A heat pump shall be selected such that the combined system will provide at least 100% of the calculated design space heating requirement at the selected internal and external temperatures. It shall be clearly stated by the Contractor what proportion of the building’s space heating and domestic hot water has been designed to be provided by the heat pump.
If the heat required by the building exceeds the heat available the calculator will show Not MCS and no value you need to select a bigger unit or a hybrid boiler backup system.
4.3.3 This estimate, when communicated to the client, shall be accompanied by the following disclaimer:
‘The performance of microgeneration heat pump systems is impossible to predict with certainty due to the variability of the climate and its subsequent effect on both heat supply and demand. This estimate is based upon the best available information but is given as guidance only and should not be considered as a guarantee.’
the RHI was launched on 9/4/14. RHI will be calculated from the figures in the energy performance certificate. The EPC calculation is completley different from this MCS calculation so these figures for RHI are only to be used as an estimation. Please tell your customer this. Ofgem states that "It will be misleading to quote these figures when estimating RHI" they also say "you may wish to use them to estimate savings for your customer.
</t>
        </r>
      </text>
    </comment>
  </commentList>
</comments>
</file>

<file path=xl/comments4.xml><?xml version="1.0" encoding="utf-8"?>
<comments xmlns="http://schemas.openxmlformats.org/spreadsheetml/2006/main">
  <authors>
    <author>Graham Hendra</author>
  </authors>
  <commentList>
    <comment ref="A4" authorId="0">
      <text>
        <r>
          <rPr>
            <sz val="9"/>
            <color indexed="81"/>
            <rFont val="Tahoma"/>
            <family val="2"/>
          </rPr>
          <t xml:space="preserve">This tool is designed to allow installation companies to establish clearly whether an installation will comply with the MCS Planning Standard and includes a calculation procedure designed to confirm whether the permitted development noise limit of 42 dB LAeq,5 mins* would be met. The Standard, and the notes and calculations carried out by installation companies, will also be used by local planning authorities and the MCS to verify compliance.
</t>
        </r>
      </text>
    </comment>
    <comment ref="A49" authorId="0">
      <text>
        <r>
          <rPr>
            <sz val="9"/>
            <color indexed="81"/>
            <rFont val="Tahoma"/>
            <family val="2"/>
          </rPr>
          <t>4.4.1 Heat pumps should be located according to the manufacturer’s instructions. For air source heat pumps, these will include consideration of factors that may detrimentally affect the performance of the heat pump system such as recirculation of chilled air.
4.4.3 Heat pumps should not be located adjacent to sleeping areas or on floors that can transmit vibration.
4.4.4 Anti-vibration pads/mats/mounts and flexible hose connections should be installed according to the manufacturer’s instructions to reduce the effects of vibration on the building structure.
4.4.5 The location of external fans and heat pump compressors should be chosen to avoid nuisance to neighbours and comply with planning requirements.
4.4.7 For air source heat pumps, consideration should be given to the removal of condensate water produced during a defrost cycle from the outdoor coil. The installation should make provision to deal with this water transferring it to a suitable drain or soak away thus preventing ice build-up within the unit or its location during extreme winter conditions.
Don't forget to use pre-insulated pipe to take the heat from the heat pump to the house when installing the unit further away from the dwelling that is being heated by the heat pump.</t>
        </r>
      </text>
    </comment>
    <comment ref="O103" authorId="0">
      <text>
        <r>
          <rPr>
            <sz val="9"/>
            <color indexed="81"/>
            <rFont val="Tahoma"/>
            <family val="2"/>
          </rPr>
          <t xml:space="preserve">From MIS3005 v4.1: For installations where other heat sources are available to the same building, the heat sources shall be fully and correctly integrated into a single control system. A heat pump shall be selected such that the combined system will provide at least 100% of the calculated design space heating requirement at the selected internal and external temperatures. It shall be clearly stated by the Contractor what proportion of the building’s space heating and domestic hot water has been designed to be provided by the heat pump.
If the heat required by the building exceeds the heat available the calculator will show Not MCS and no value you need to select a bigger unit or a hybrid boiler backup system.
4.3.3 This estimate, when communicated to the client, shall be accompanied by the following disclaimer:
‘The performance of microgeneration heat pump systems is impossible to predict with certainty due to the variability of the climate and its subsequent effect on both heat supply and demand. This estimate is based upon the best available information but is given as guidance only and should not be considered as a guarantee.’
the RHI was launched on 9/4/14. RHI will be calculated from the figures in the energy performance certificate. The EPC calculation is completley different from this MCS calculation so these figures for RHI are only to be used as an estimation. Please tell your customer this. Ofgem states that "It will be misleading to quote these figures when estimating RHI" they also say "you may wish to use them to estimate savings for your customer.
</t>
        </r>
      </text>
    </comment>
  </commentList>
</comments>
</file>

<file path=xl/sharedStrings.xml><?xml version="1.0" encoding="utf-8"?>
<sst xmlns="http://schemas.openxmlformats.org/spreadsheetml/2006/main" count="4003" uniqueCount="1182">
  <si>
    <t>Window U values</t>
  </si>
  <si>
    <t>Double glazed wood/plastic</t>
  </si>
  <si>
    <t>Double glazed metal</t>
  </si>
  <si>
    <t>Single glazed wood/plastic</t>
  </si>
  <si>
    <t>Window type</t>
  </si>
  <si>
    <t>Single glazed metal</t>
  </si>
  <si>
    <t>Wall U-values</t>
  </si>
  <si>
    <t>Roof U-values</t>
  </si>
  <si>
    <t>Flat 50mm insulation</t>
  </si>
  <si>
    <t>Results</t>
  </si>
  <si>
    <t>W</t>
  </si>
  <si>
    <t xml:space="preserve">ambient temperature </t>
  </si>
  <si>
    <t>Project</t>
  </si>
  <si>
    <t>Reference</t>
  </si>
  <si>
    <t>Radiator type</t>
  </si>
  <si>
    <t>% Oversize</t>
  </si>
  <si>
    <t>Floor U-values</t>
  </si>
  <si>
    <t>Reference data table</t>
  </si>
  <si>
    <t>Notes:</t>
  </si>
  <si>
    <t>design ambient temperatures</t>
  </si>
  <si>
    <t>custom</t>
  </si>
  <si>
    <t>Economy 7 heating</t>
  </si>
  <si>
    <t>Electricity - UK</t>
  </si>
  <si>
    <t>Coal</t>
  </si>
  <si>
    <t>HEAT PUMP (electric)</t>
  </si>
  <si>
    <t>Run cost calculator</t>
  </si>
  <si>
    <t>% saving using heat pump</t>
  </si>
  <si>
    <t>renovation</t>
  </si>
  <si>
    <t>kWhrs</t>
  </si>
  <si>
    <t>LPG**</t>
  </si>
  <si>
    <t>Natural Gas old boiler 10yr+</t>
  </si>
  <si>
    <t>code 5 and 6, 2016</t>
  </si>
  <si>
    <t>code 4, 2013</t>
  </si>
  <si>
    <t>Building regs Part L</t>
  </si>
  <si>
    <t>extension</t>
  </si>
  <si>
    <t>renovation extension pitched</t>
  </si>
  <si>
    <t>renovation extension flat</t>
  </si>
  <si>
    <t>Pitched w felt and 100mm insulation</t>
  </si>
  <si>
    <t>Pitched no felt 100mm insulation</t>
  </si>
  <si>
    <t>Building regs part L</t>
  </si>
  <si>
    <t>Natural gas OFGEM</t>
  </si>
  <si>
    <t>number of people in the house</t>
  </si>
  <si>
    <t>Litres</t>
  </si>
  <si>
    <t>tank size available choose from list</t>
  </si>
  <si>
    <t>location</t>
  </si>
  <si>
    <t>Building Details</t>
  </si>
  <si>
    <t>Birmingham</t>
  </si>
  <si>
    <t>Cardiff</t>
  </si>
  <si>
    <t>Edinburgh</t>
  </si>
  <si>
    <t>Glasgow</t>
  </si>
  <si>
    <t>London</t>
  </si>
  <si>
    <t>Manchester</t>
  </si>
  <si>
    <t>Plymouth</t>
  </si>
  <si>
    <t>C</t>
  </si>
  <si>
    <t>gnd temp</t>
  </si>
  <si>
    <t>External Wall type</t>
  </si>
  <si>
    <t>m</t>
  </si>
  <si>
    <t>internal</t>
  </si>
  <si>
    <t>Floor type</t>
  </si>
  <si>
    <t>Roof / Ceiling type</t>
  </si>
  <si>
    <t>Bathroom</t>
  </si>
  <si>
    <t>m^2</t>
  </si>
  <si>
    <t>Dining rooms</t>
  </si>
  <si>
    <t>Ventilation rate</t>
  </si>
  <si>
    <t>Bedroom</t>
  </si>
  <si>
    <t>Kitchen</t>
  </si>
  <si>
    <t>Toilet</t>
  </si>
  <si>
    <t>Code 3 or higher</t>
  </si>
  <si>
    <t>AC/hr</t>
  </si>
  <si>
    <t>Heat recovery 66% efficent</t>
  </si>
  <si>
    <t>Room Name</t>
  </si>
  <si>
    <t>Heating</t>
  </si>
  <si>
    <t>Hot water</t>
  </si>
  <si>
    <t xml:space="preserve">Total Heat loss </t>
  </si>
  <si>
    <t>code 3, 2011</t>
  </si>
  <si>
    <t>heated floor area</t>
  </si>
  <si>
    <t>the same is true with the floor on the first floor rooms.</t>
  </si>
  <si>
    <t>you have to calculate the loss on a room by room basis, the calculator only needs to know the length of any external walls</t>
  </si>
  <si>
    <t>next choose the ventilation loss, again the calculator will use the mcs figures when you select from the drop dowlist</t>
  </si>
  <si>
    <t>Now repeat for the next room</t>
  </si>
  <si>
    <t>once every room has been completed you can see the total load at the top of the sheet and the total heated area.</t>
  </si>
  <si>
    <t>these will automatically be selected when you state where the property is in the country. Choose from the drop down list</t>
  </si>
  <si>
    <t>Samsung 6kW split</t>
  </si>
  <si>
    <t>Samsung 7kW split</t>
  </si>
  <si>
    <t>Samsung 8kW split</t>
  </si>
  <si>
    <t>Samsung 9kW mono</t>
  </si>
  <si>
    <t>Samsung 16kW split</t>
  </si>
  <si>
    <t>Samsung 14kW split</t>
  </si>
  <si>
    <t>Samsung 11kW split</t>
  </si>
  <si>
    <t>Custom</t>
  </si>
  <si>
    <t>to speed up the process you can enter the building construction details at the top of the sheet and select as above for each room</t>
  </si>
  <si>
    <t xml:space="preserve">recommended tank size </t>
  </si>
  <si>
    <t xml:space="preserve">solid wood door </t>
  </si>
  <si>
    <t>internal no loss</t>
  </si>
  <si>
    <t>renovation and extension</t>
  </si>
  <si>
    <t xml:space="preserve">brick 100mm </t>
  </si>
  <si>
    <t>brick 343mm</t>
  </si>
  <si>
    <t xml:space="preserve">brick 228mm </t>
  </si>
  <si>
    <t>stone 300mm</t>
  </si>
  <si>
    <t>stone 600mm</t>
  </si>
  <si>
    <t>stone 450mm</t>
  </si>
  <si>
    <t>brick cavity brick plaster</t>
  </si>
  <si>
    <t>brick cavity block plaster</t>
  </si>
  <si>
    <t>brick cavity thermal block plaster</t>
  </si>
  <si>
    <t>plasterboard studding plasterboard</t>
  </si>
  <si>
    <t>plaster concrete block plaster</t>
  </si>
  <si>
    <t>plaster block cavity block plaster</t>
  </si>
  <si>
    <t>concrete 150mm plaster</t>
  </si>
  <si>
    <t>concrete floor no insulation</t>
  </si>
  <si>
    <t>concrete floor 100mm insulation</t>
  </si>
  <si>
    <t>concrete floor 50mm insulation</t>
  </si>
  <si>
    <t xml:space="preserve">suspended wood </t>
  </si>
  <si>
    <t>suspended wood with 50mm insulation</t>
  </si>
  <si>
    <t>suspended wood with 100mm insualtion</t>
  </si>
  <si>
    <t xml:space="preserve">wood, airgap,  board to outside </t>
  </si>
  <si>
    <t xml:space="preserve">concrete floor 200mm to outside </t>
  </si>
  <si>
    <t>Flat 100mm insulation</t>
  </si>
  <si>
    <t>Pitched felt 200mm insulation regs Part L</t>
  </si>
  <si>
    <t>Belfast</t>
  </si>
  <si>
    <t>2 x Samsung 16kW mono</t>
  </si>
  <si>
    <t xml:space="preserve">2 x Samsung 9kW mono </t>
  </si>
  <si>
    <t>Samsung 16kW + 9kW  mono</t>
  </si>
  <si>
    <t>kWhrs heat provided by heat pump</t>
  </si>
  <si>
    <t>Is solar thermal being installed</t>
  </si>
  <si>
    <t>Yes</t>
  </si>
  <si>
    <t>No</t>
  </si>
  <si>
    <t>Current Rad width mm</t>
  </si>
  <si>
    <t>System Volume</t>
  </si>
  <si>
    <t xml:space="preserve">code 4, 2013 </t>
  </si>
  <si>
    <t>cardiff</t>
  </si>
  <si>
    <t>london</t>
  </si>
  <si>
    <t>glasgow</t>
  </si>
  <si>
    <t>total</t>
  </si>
  <si>
    <t>MCS location</t>
  </si>
  <si>
    <t>P specific</t>
  </si>
  <si>
    <t>is 1 degree lower than the room temp</t>
  </si>
  <si>
    <t xml:space="preserve">P specific is the amount of heat lost when the ambient temperature </t>
  </si>
  <si>
    <t>it will work out the area of the walls for you.</t>
  </si>
  <si>
    <t xml:space="preserve">flow temperature </t>
  </si>
  <si>
    <t xml:space="preserve">kWhrs </t>
  </si>
  <si>
    <t>January</t>
  </si>
  <si>
    <t>February</t>
  </si>
  <si>
    <t>March</t>
  </si>
  <si>
    <t>April</t>
  </si>
  <si>
    <t>May</t>
  </si>
  <si>
    <t>June</t>
  </si>
  <si>
    <t>July</t>
  </si>
  <si>
    <t>August</t>
  </si>
  <si>
    <t>September</t>
  </si>
  <si>
    <t>October</t>
  </si>
  <si>
    <t>November</t>
  </si>
  <si>
    <t>December</t>
  </si>
  <si>
    <t xml:space="preserve">Run cost estimation per month of heat pump </t>
  </si>
  <si>
    <t>Month</t>
  </si>
  <si>
    <t>Is the house new build ?</t>
  </si>
  <si>
    <t>no</t>
  </si>
  <si>
    <t>MCS020</t>
  </si>
  <si>
    <t xml:space="preserve">note 1 and 2 </t>
  </si>
  <si>
    <t>Note 4</t>
  </si>
  <si>
    <t>model no</t>
  </si>
  <si>
    <t>Q (STEP 2 RESULT)</t>
  </si>
  <si>
    <t>Distance from Heat Pump (metres) (STEP 3 RESULT)</t>
  </si>
  <si>
    <t>note 2a</t>
  </si>
  <si>
    <t>Step</t>
  </si>
  <si>
    <t>results</t>
  </si>
  <si>
    <t xml:space="preserve">no of walls </t>
  </si>
  <si>
    <t>directivity</t>
  </si>
  <si>
    <t>dBa</t>
  </si>
  <si>
    <t>2a</t>
  </si>
  <si>
    <t xml:space="preserve">how many surfaces (walls, floor and roof) are within 1m of the unit </t>
  </si>
  <si>
    <t xml:space="preserve">fail sound test </t>
  </si>
  <si>
    <t>measure the shortest distance in metres from the middle of the heat pump to the nearest door or window of the neighbours</t>
  </si>
  <si>
    <t>property.We call this the assesment point. The measurement must be to a room other than a bathroom, shower room, toilet or kitchen.</t>
  </si>
  <si>
    <t>note 7</t>
  </si>
  <si>
    <t>3a</t>
  </si>
  <si>
    <t xml:space="preserve">type in distance metres, whole numbers rounded up please </t>
  </si>
  <si>
    <t>diff from note 8</t>
  </si>
  <si>
    <t>correction</t>
  </si>
  <si>
    <t>decibel reduction</t>
  </si>
  <si>
    <t>5a</t>
  </si>
  <si>
    <t xml:space="preserve">if you stand in front of the heat pump can you see the assesment point window / door </t>
  </si>
  <si>
    <t>5b</t>
  </si>
  <si>
    <t>if you move 25cm from the unit can you see the assesment point window / door from the heat pump</t>
  </si>
  <si>
    <t>5c</t>
  </si>
  <si>
    <t>is there a solid wall or fence between the heat pump and the neighbours house</t>
  </si>
  <si>
    <t>yes</t>
  </si>
  <si>
    <t>step 4</t>
  </si>
  <si>
    <t xml:space="preserve">mcs assumed background noise level </t>
  </si>
  <si>
    <t xml:space="preserve">difference between heat pump noise and background </t>
  </si>
  <si>
    <t xml:space="preserve">correction factor </t>
  </si>
  <si>
    <t>9a</t>
  </si>
  <si>
    <t xml:space="preserve">New corrected Sound pressure level </t>
  </si>
  <si>
    <t>the figure in step 9a MUST be below 42dBa to pass as permitted development</t>
  </si>
  <si>
    <t>Old heating oil boiler</t>
  </si>
  <si>
    <t>thatch</t>
  </si>
  <si>
    <t>Double glazed glass UPVC</t>
  </si>
  <si>
    <t xml:space="preserve">cylinder volume </t>
  </si>
  <si>
    <t>L</t>
  </si>
  <si>
    <t>number of bedrooms</t>
  </si>
  <si>
    <t>delta t</t>
  </si>
  <si>
    <t>kW</t>
  </si>
  <si>
    <t>New heating oil boiler*</t>
  </si>
  <si>
    <t>Samsung 16kW mono</t>
  </si>
  <si>
    <t>Temperature</t>
  </si>
  <si>
    <t>% of degree days</t>
  </si>
  <si>
    <t>Will the system qualify for MCS?</t>
  </si>
  <si>
    <t>% of heat load system will meet</t>
  </si>
  <si>
    <t>cost of heat per kWhr</t>
  </si>
  <si>
    <t>cost of heat pump p/a</t>
  </si>
  <si>
    <t>any RHI and lists every radiator that needs changing.</t>
  </si>
  <si>
    <t>Noise test can be used to determine whether the unit needs planning permission or not, fill in the orange boxes and the calculator will say if you pass or fail</t>
  </si>
  <si>
    <t>Will the system qualify for MCS</t>
  </si>
  <si>
    <t>n/a</t>
  </si>
  <si>
    <t>what unit are you installing taken from mcs run page</t>
  </si>
  <si>
    <t>Only one heat pump can be installed without planning permission</t>
  </si>
  <si>
    <t>It must be less than 1m^3 in size</t>
  </si>
  <si>
    <t>It must not exceed 45dBa as measured at the nearest window of the next door neighbour’s property.</t>
  </si>
  <si>
    <t xml:space="preserve">In a recent change to the rules installers will no longer require planning permission for heat pumps. </t>
  </si>
  <si>
    <t xml:space="preserve">As part of the PDR (Permitted Development Rights) planning permission will no longer </t>
  </si>
  <si>
    <t>be required as long as a few rules are adhered too. </t>
  </si>
  <si>
    <t>the calculator below duplicates the MCS020 and makes it easy to use</t>
  </si>
  <si>
    <t>DON’T use this calculator if more than 1 heat pump is being installed, two units need planning permission.</t>
  </si>
  <si>
    <t>About the unit</t>
  </si>
  <si>
    <t>all details are in the table here from MIS3005</t>
  </si>
  <si>
    <t>CO2 emmissions per year. kg</t>
  </si>
  <si>
    <t>Carbon Intensity kgCO2/kWhr</t>
  </si>
  <si>
    <t>estimated backup boiler run cost p/a</t>
  </si>
  <si>
    <t>Cost of running single fuel heating system</t>
  </si>
  <si>
    <t>% of annual heat load boiler will provide</t>
  </si>
  <si>
    <t xml:space="preserve">% output provided </t>
  </si>
  <si>
    <t>Domestic RHI</t>
  </si>
  <si>
    <t>http://www.microgenerationcertification.org/mcs-standards/installer-standards</t>
  </si>
  <si>
    <t>height above sea level</t>
  </si>
  <si>
    <t>altitude m</t>
  </si>
  <si>
    <t>air temp</t>
  </si>
  <si>
    <t>Heat loss In accordance with EN12831</t>
  </si>
  <si>
    <t>Installer</t>
  </si>
  <si>
    <t>Glycol recommended</t>
  </si>
  <si>
    <t>Hot water cylinder temperature</t>
  </si>
  <si>
    <t>mins</t>
  </si>
  <si>
    <t>expansion vessel size</t>
  </si>
  <si>
    <t>brick cavity filled block plaster</t>
  </si>
  <si>
    <t>brick cavity filled thermal block plaster</t>
  </si>
  <si>
    <t>heat loss W/m^2</t>
  </si>
  <si>
    <t>litres</t>
  </si>
  <si>
    <r>
      <rPr>
        <b/>
        <sz val="10"/>
        <rFont val="Arial"/>
        <family val="2"/>
      </rPr>
      <t>Current</t>
    </r>
    <r>
      <rPr>
        <sz val="10"/>
        <rFont val="Arial"/>
        <family val="2"/>
      </rPr>
      <t xml:space="preserve"> Radiator Height mm</t>
    </r>
  </si>
  <si>
    <t>output  W</t>
  </si>
  <si>
    <r>
      <t xml:space="preserve">you </t>
    </r>
    <r>
      <rPr>
        <b/>
        <sz val="10"/>
        <color theme="1"/>
        <rFont val="Arial"/>
        <family val="2"/>
      </rPr>
      <t>must</t>
    </r>
    <r>
      <rPr>
        <sz val="10"/>
        <color theme="1"/>
        <rFont val="Arial"/>
        <family val="2"/>
      </rPr>
      <t xml:space="preserve"> enter the floor and ceiling areas and the area of the window in the room as well.</t>
    </r>
  </si>
  <si>
    <r>
      <rPr>
        <b/>
        <sz val="10"/>
        <color rgb="FFFF0000"/>
        <rFont val="Arial"/>
        <family val="2"/>
      </rPr>
      <t xml:space="preserve">Note </t>
    </r>
    <r>
      <rPr>
        <sz val="10"/>
        <color theme="1"/>
        <rFont val="Arial"/>
        <family val="2"/>
      </rPr>
      <t xml:space="preserve">if you are doing a ground floor room and you select an internal ceiling it will assume there is not heat loss to upstairs. </t>
    </r>
  </si>
  <si>
    <r>
      <t xml:space="preserve">% of heat LOAD HP </t>
    </r>
    <r>
      <rPr>
        <sz val="10"/>
        <color rgb="FFFF0000"/>
        <rFont val="Arial"/>
        <family val="2"/>
      </rPr>
      <t>can</t>
    </r>
    <r>
      <rPr>
        <sz val="10"/>
        <rFont val="Arial"/>
        <family val="2"/>
      </rPr>
      <t xml:space="preserve"> provide </t>
    </r>
  </si>
  <si>
    <t>Fuel</t>
  </si>
  <si>
    <t>LPG+ heat pump</t>
  </si>
  <si>
    <t>Nat Gas + heat pump</t>
  </si>
  <si>
    <t>Energy Price per KWhr this can be adjusted</t>
  </si>
  <si>
    <t>Efficency % and SPF (seasonal COP)</t>
  </si>
  <si>
    <t>Actual cost / month</t>
  </si>
  <si>
    <t xml:space="preserve">renewable heat kWhrs from mcs calc </t>
  </si>
  <si>
    <t>%  energy used/ month</t>
  </si>
  <si>
    <t>Additional Pumps</t>
  </si>
  <si>
    <t>MCS Calculation</t>
  </si>
  <si>
    <t>Estimation of pump run cost</t>
  </si>
  <si>
    <t>Heat pump chosen for project</t>
  </si>
  <si>
    <t>Cylinder reheat time</t>
  </si>
  <si>
    <r>
      <t>It must </t>
    </r>
    <r>
      <rPr>
        <u/>
        <sz val="10"/>
        <color rgb="FF4D4D4D"/>
        <rFont val="Arial"/>
        <family val="2"/>
      </rPr>
      <t>not</t>
    </r>
    <r>
      <rPr>
        <sz val="10"/>
        <color rgb="FF4D4D4D"/>
        <rFont val="Arial"/>
        <family val="2"/>
      </rPr>
      <t> be mounted on the side of the building facing the highway or be visible from the highway.</t>
    </r>
  </si>
  <si>
    <r>
      <t>It must be installed by MCS installer as part of the MCS scheme</t>
    </r>
    <r>
      <rPr>
        <sz val="10"/>
        <color rgb="FF4D4D4D"/>
        <rFont val="Arial"/>
        <family val="2"/>
      </rPr>
      <t>.</t>
    </r>
  </si>
  <si>
    <r>
      <t xml:space="preserve">sound </t>
    </r>
    <r>
      <rPr>
        <b/>
        <sz val="10"/>
        <color theme="1"/>
        <rFont val="Arial"/>
        <family val="2"/>
      </rPr>
      <t xml:space="preserve">power </t>
    </r>
    <r>
      <rPr>
        <sz val="10"/>
        <color theme="1"/>
        <rFont val="Arial"/>
        <family val="2"/>
      </rPr>
      <t>level from table above</t>
    </r>
  </si>
  <si>
    <r>
      <t xml:space="preserve">databook sound </t>
    </r>
    <r>
      <rPr>
        <b/>
        <sz val="10"/>
        <color theme="1"/>
        <rFont val="Arial"/>
        <family val="2"/>
      </rPr>
      <t>pressure</t>
    </r>
    <r>
      <rPr>
        <sz val="10"/>
        <color theme="1"/>
        <rFont val="Arial"/>
        <family val="2"/>
      </rPr>
      <t xml:space="preserve"> level from table above</t>
    </r>
  </si>
  <si>
    <r>
      <t>answer</t>
    </r>
    <r>
      <rPr>
        <b/>
        <sz val="10"/>
        <color theme="1"/>
        <rFont val="Arial"/>
        <family val="2"/>
      </rPr>
      <t xml:space="preserve"> yes to only one</t>
    </r>
    <r>
      <rPr>
        <sz val="10"/>
        <color theme="1"/>
        <rFont val="Arial"/>
        <family val="2"/>
      </rPr>
      <t xml:space="preserve"> of the following</t>
    </r>
  </si>
  <si>
    <r>
      <t xml:space="preserve">calculated Sound </t>
    </r>
    <r>
      <rPr>
        <b/>
        <sz val="10"/>
        <color theme="1"/>
        <rFont val="Arial"/>
        <family val="2"/>
      </rPr>
      <t>pressure</t>
    </r>
    <r>
      <rPr>
        <sz val="10"/>
        <color theme="1"/>
        <rFont val="Arial"/>
        <family val="2"/>
      </rPr>
      <t xml:space="preserve"> level of installation </t>
    </r>
  </si>
  <si>
    <t>customer signature and date</t>
  </si>
  <si>
    <t>Ambient temperature boiler will take over heating</t>
  </si>
  <si>
    <t>does the system pass the mcs noise test</t>
  </si>
  <si>
    <t>Total installed capacity</t>
  </si>
  <si>
    <t>Declared net capacity</t>
  </si>
  <si>
    <t>celotex 50mm</t>
  </si>
  <si>
    <t>celotex 100mm</t>
  </si>
  <si>
    <t>celotex 200mm</t>
  </si>
  <si>
    <t>celotex 300mm</t>
  </si>
  <si>
    <t>MCS Compliance Certificate</t>
  </si>
  <si>
    <t>Heat Pump</t>
  </si>
  <si>
    <t>1. General information</t>
  </si>
  <si>
    <t>Name of the owner</t>
  </si>
  <si>
    <t xml:space="preserve">Address of the owner </t>
  </si>
  <si>
    <t>Address at which the heating system is installed, if different to above</t>
  </si>
  <si>
    <t xml:space="preserve">MCS certification number of installation company </t>
  </si>
  <si>
    <t>Name of MCS installation company</t>
  </si>
  <si>
    <t>Address of MCS installation company</t>
  </si>
  <si>
    <t>Commissioning date of the installation</t>
  </si>
  <si>
    <t>2. Purpose of installation</t>
  </si>
  <si>
    <t>Does the installation provide:</t>
  </si>
  <si>
    <t>i. Space heating</t>
  </si>
  <si>
    <t>ii. Domestic hot water</t>
  </si>
  <si>
    <t>iii. Other (please state)</t>
  </si>
  <si>
    <t>Is the installation designed for intermittent or continuous heating?</t>
  </si>
  <si>
    <t>Continuous</t>
  </si>
  <si>
    <t>Are the heating services to the building bivalent/multivalent?</t>
  </si>
  <si>
    <t>3. Regulations and approvals</t>
  </si>
  <si>
    <t>i. Have all regulations been met and approvals obtained (including planning approval as required)?</t>
  </si>
  <si>
    <t xml:space="preserve">ii. If installed in England, does the installation comply with MCS 020 where permitted development is required (air source heat pumps only)? </t>
  </si>
  <si>
    <t>4. Heating calculations</t>
  </si>
  <si>
    <t>i. Has a heat loss calculation been carried out for every heated room?</t>
  </si>
  <si>
    <t>ii. Heat loss calculator used (name and version)</t>
  </si>
  <si>
    <t>iii. Design external temperature (°C)</t>
  </si>
  <si>
    <t>iv. Design ground temperature (°C) (for solid floor losses only)</t>
  </si>
  <si>
    <t>v. Design internal temperatures (°C)</t>
  </si>
  <si>
    <t>vi. Total building heat loss in kW</t>
  </si>
  <si>
    <t>If the installation has been designed for intermittent heating, what uplift factor has been applied to the building heat loss when sizing the:</t>
  </si>
  <si>
    <t>i. Heat source</t>
  </si>
  <si>
    <t>ii. Heat emitters</t>
  </si>
  <si>
    <t>i. Has the Domestic Hot Water (DHW) system been designed by considering the number and types of points of use and anticipated consumption within the property?</t>
  </si>
  <si>
    <t>ii. Has the reheat time of the hot water storage vessel been estimated and agreed with the customer?</t>
  </si>
  <si>
    <t>Have the implications of the system design on the costs associated with providing space heating and domestic hot water to the building been explained in writing to the owner?</t>
  </si>
  <si>
    <t>5. Heat emitter design</t>
  </si>
  <si>
    <t>i. Lowest of the oversize factors or pipe spacing (as appropriate) for the heat emitters that are to be used</t>
  </si>
  <si>
    <t>ii. What heat emitters are installed? 
(List all that apply using Heat Emitter Guide (HEG))</t>
  </si>
  <si>
    <t>iii. Floor covering (If underfloor heating)</t>
  </si>
  <si>
    <t>vi. Temperature (°C) of the water leaving the heat pump when supplying space heating at the design external temperature?</t>
  </si>
  <si>
    <t>vii. What is the Temperature Star Rating for the whole heating system?</t>
  </si>
  <si>
    <t xml:space="preserve">viii. Has the customer been provided with a copy of the calculations carried out for the HEG? </t>
  </si>
  <si>
    <t>6. Hot water system</t>
  </si>
  <si>
    <t>i. Is hot water heating provided by the heat pump?</t>
  </si>
  <si>
    <t>ii. Maximum flow temperature (°C) of the heat pump while providing hot water</t>
  </si>
  <si>
    <t>iii. Fraction of hot water supplied by the heat pump, excluding the immersion heater</t>
  </si>
  <si>
    <t>iv. Volume of the cylinder in litres and note evidence for the choice</t>
  </si>
  <si>
    <t>v. Is the cylinder including the heat exchanger designed to operate with a heat pump?</t>
  </si>
  <si>
    <t>7. Heat pump selection</t>
  </si>
  <si>
    <t>i. Make and model name of the installed heat pump</t>
  </si>
  <si>
    <t>ii. MCS product certification number for the heat pump</t>
  </si>
  <si>
    <t>iii. Heat output from the heat pump in kW (excluding heat from any supplementary heaters) at the design external and design flow temperatures</t>
  </si>
  <si>
    <t>iv. Does the heat pump provide a full or partial heating service?</t>
  </si>
  <si>
    <t>v. If partial, what is the percentage of annual space heating requirements met by the heat pump (excluding supplementary heaters)?</t>
  </si>
  <si>
    <t>vi. Does the heat pump provide full or partial hot water heating?</t>
  </si>
  <si>
    <t>vii. If partial, what is the percentage of annual hot water requirements met by the heat pump (excluding supplementary heaters)?</t>
  </si>
  <si>
    <t>8. Design of ground heat exchanger</t>
  </si>
  <si>
    <t>i. Has the customer been provided with a completed copy of Table 3 from MIS 3005?</t>
  </si>
  <si>
    <t>ii. Annual energy (kWh/yr) assumed for the ground heat exchanger design</t>
  </si>
  <si>
    <t xml:space="preserve">iii. Confirm that: </t>
  </si>
  <si>
    <t>a. the flow of thermal transfer fluid is turbulent in the ground heat exchanger active elements</t>
  </si>
  <si>
    <t>b. the closed-loop ground collector system pumping power at the lowest operating temperature is less than 3% of the heat pump heating capacity</t>
  </si>
  <si>
    <t>c. the method used is location specific taking account of UK average ground temperatures</t>
  </si>
  <si>
    <t>d. the temperature of the thermal transfer fluid entering the heat pump been designed to be not less than 0°C at all times for 20 years</t>
  </si>
  <si>
    <t>iv. Type of ground heat exchanger</t>
  </si>
  <si>
    <t>9. System performance calculations and annual energy figures</t>
  </si>
  <si>
    <t>i. Annual space heating demand (kWh/yr)</t>
  </si>
  <si>
    <t>ii. Annual water heating demand (kWh/yr)</t>
  </si>
  <si>
    <t>iii. Percentage of space heating and water heating demand provided by the heat pump (excluding auxiliary and immersion heaters)</t>
  </si>
  <si>
    <t>iv. Annual electricity consumption of the heat pump (excluding auxiliary and immersion heaters) (kWh/yr)</t>
  </si>
  <si>
    <t>v. Annual electricity consumption of auxiliary and immersion heaters (kWh/yr)</t>
  </si>
  <si>
    <t>vi. Annual energy consumption of other heat sources (kWh/yr)</t>
  </si>
  <si>
    <t>i. (Optional) If intended as domestic RHI installation, maximum qualifying renewable heat (kWh/yr) from the Energy Performance Certificate (EPC) where available</t>
  </si>
  <si>
    <t>10. Installation</t>
  </si>
  <si>
    <t>i. Does the installation conform to the design?</t>
  </si>
  <si>
    <t>ii. Have all manufacturers’ instructions been followed including installation location and condensate drainage (as appropriate)?</t>
  </si>
  <si>
    <t>iii. Where the requirements of MIS 3005 exceed those of the manufacturer, have the requirements of MIS 3005 been met?</t>
  </si>
  <si>
    <t>If intended as a domestic RHI installation:</t>
  </si>
  <si>
    <t>i. Does the installation conform to the MCS Domestic RHI Metering Guidance?</t>
  </si>
  <si>
    <t>ii. What is the outcome of Procedure A in the MCS Domestic RHI Metering Guidance?</t>
  </si>
  <si>
    <t>iii. Is the installation meter ready? If not, please state why.</t>
  </si>
  <si>
    <t>For ground source heat pumps:</t>
  </si>
  <si>
    <t>i. Has the system been flushed, purged, filled and pressure tested according to MIS 3005?</t>
  </si>
  <si>
    <t>ii. What make and type of antifreeze has been added to make up the thermal transfer fluid?</t>
  </si>
  <si>
    <t>iii. Is the antifreeze mixed to at least -10 °C and has it been tested twice with a refractometer?</t>
  </si>
  <si>
    <t>iv. Has the recommended biocide been added in the quantity specified?</t>
  </si>
  <si>
    <t>11. Commissioning and handover</t>
  </si>
  <si>
    <t>ii. Record the control settings</t>
  </si>
  <si>
    <t>i. Has the heat pump and other components of the system been commissioned according to the manufacturers' instructions and system design parameters?</t>
  </si>
  <si>
    <t>ii. Has a label been attached to the system in accordance with MIS 3005?</t>
  </si>
  <si>
    <t>i. Have you given the customer a handover pack?</t>
  </si>
  <si>
    <t>ii. State the issue number of MIS 3005 used</t>
  </si>
  <si>
    <t>iii. Have you informed the customer that they will receive an MCS installation certificate that they should keep with their handover pack?</t>
  </si>
  <si>
    <t>12. Confirmation</t>
  </si>
  <si>
    <t>Signature:</t>
  </si>
  <si>
    <t>Full name and job title:</t>
  </si>
  <si>
    <t>Date:</t>
  </si>
  <si>
    <t>N/A</t>
  </si>
  <si>
    <t>Notes</t>
  </si>
  <si>
    <t>these are incuded in the heat load calculator</t>
  </si>
  <si>
    <t>Sticker is supplied with the instruction manual</t>
  </si>
  <si>
    <t>annual space heating requirement for building</t>
  </si>
  <si>
    <t>annual water heating DHW requirement for building</t>
  </si>
  <si>
    <t>%</t>
  </si>
  <si>
    <t>annual space heating to be supplied by installed renewable heating technology</t>
  </si>
  <si>
    <t>heat supplied by external backup heater (samsung don’t use backup electrical heaters)</t>
  </si>
  <si>
    <t>For MCS paperwork</t>
  </si>
  <si>
    <t>% of hot water heating  DHW provided by the heat pump (exc aux heaters)</t>
  </si>
  <si>
    <t>annual water heating DHW to be supplied by the installed renewable technology</t>
  </si>
  <si>
    <r>
      <t xml:space="preserve">% of space </t>
    </r>
    <r>
      <rPr>
        <b/>
        <sz val="10"/>
        <rFont val="Arial"/>
        <family val="2"/>
      </rPr>
      <t>heating and water</t>
    </r>
    <r>
      <rPr>
        <sz val="10"/>
        <rFont val="Arial"/>
        <family val="2"/>
      </rPr>
      <t xml:space="preserve"> heating demand provided by the heat pump (exc aux heaters)</t>
    </r>
  </si>
  <si>
    <t>total electrical input for DHW HP + immersion</t>
  </si>
  <si>
    <t>Total electrical input for heating and hot water (including aux heaters)</t>
  </si>
  <si>
    <t>Orange cells need to be filled manually</t>
  </si>
  <si>
    <t xml:space="preserve">This sheet is unlocked </t>
  </si>
  <si>
    <t>% of space heating  provided by the heat pump (exc aux heaters/ backup boiler)</t>
  </si>
  <si>
    <t xml:space="preserve">total electrical input for heating HP </t>
  </si>
  <si>
    <t xml:space="preserve">so please be careful not to delete formulas, </t>
  </si>
  <si>
    <t>those in blue are automatically filled in</t>
  </si>
  <si>
    <t>version information</t>
  </si>
  <si>
    <t>v19, added mcs compliance certificate</t>
  </si>
  <si>
    <t>v19.1 modification to rhi calculator on mcs run cost sheet</t>
  </si>
  <si>
    <t>Details of MCS-certified installer completing this form</t>
  </si>
  <si>
    <t>Domestic RHI applicant details</t>
  </si>
  <si>
    <t>Installer name:</t>
  </si>
  <si>
    <t>Name:</t>
  </si>
  <si>
    <t>MCS Certificated Company Name:</t>
  </si>
  <si>
    <t>Installation address:</t>
  </si>
  <si>
    <t>MCS Certificated Company MCS Number:</t>
  </si>
  <si>
    <t>Company address:</t>
  </si>
  <si>
    <t>Installation's MCS Certificate Number:</t>
  </si>
  <si>
    <t>MCS Certificated Product Number:</t>
  </si>
  <si>
    <t>Company phone number:</t>
  </si>
  <si>
    <t>Please confirm that the heat pump(s) at the address above are providing heat to only one single domestic property</t>
  </si>
  <si>
    <t xml:space="preserve">Type of heat pump: </t>
  </si>
  <si>
    <t>Does system contain a blending valve?</t>
  </si>
  <si>
    <t>Number of heated rooms in property:</t>
  </si>
  <si>
    <t xml:space="preserve">Number of unheated rooms: </t>
  </si>
  <si>
    <t>Number of rooms heated by radiators:</t>
  </si>
  <si>
    <t>Number of rooms heated by underfloor:</t>
  </si>
  <si>
    <t>Design external temp. (°C):</t>
  </si>
  <si>
    <t>Rooms heated by radiators</t>
  </si>
  <si>
    <t>Design int. temp. (°C)</t>
  </si>
  <si>
    <t>Heat loss power (W)</t>
  </si>
  <si>
    <t>Rated output of radiators at MW-AT 50°C</t>
  </si>
  <si>
    <t>Flow temperature (°C)</t>
  </si>
  <si>
    <t>Room star rating</t>
  </si>
  <si>
    <t>Label (eg bedroom 1)</t>
  </si>
  <si>
    <t>Oversize factor</t>
  </si>
  <si>
    <t>Room 1</t>
  </si>
  <si>
    <t>***</t>
  </si>
  <si>
    <t>Room 2</t>
  </si>
  <si>
    <t>Room 3</t>
  </si>
  <si>
    <t>Room 4</t>
  </si>
  <si>
    <t>Room 5</t>
  </si>
  <si>
    <t>Room 6</t>
  </si>
  <si>
    <t>Room 7</t>
  </si>
  <si>
    <t>Room 8</t>
  </si>
  <si>
    <t>Room 9</t>
  </si>
  <si>
    <t>Room 10</t>
  </si>
  <si>
    <t>Room 11</t>
  </si>
  <si>
    <t>Room 12</t>
  </si>
  <si>
    <t>Room 13</t>
  </si>
  <si>
    <t>Room 14</t>
  </si>
  <si>
    <t>Room 15</t>
  </si>
  <si>
    <t>Rooms heated by underfloor</t>
  </si>
  <si>
    <r>
      <t>Specific heat loss power (W/m</t>
    </r>
    <r>
      <rPr>
        <vertAlign val="superscript"/>
        <sz val="10"/>
        <color theme="1"/>
        <rFont val="Verdana"/>
        <family val="2"/>
      </rPr>
      <t>2</t>
    </r>
    <r>
      <rPr>
        <sz val="11"/>
        <color theme="1"/>
        <rFont val="Calibri"/>
        <family val="2"/>
        <scheme val="minor"/>
      </rPr>
      <t>)</t>
    </r>
  </si>
  <si>
    <t>Underfloor heating type</t>
  </si>
  <si>
    <t>Floor covering</t>
  </si>
  <si>
    <t>Pipe spacing</t>
  </si>
  <si>
    <t>Star rating of worst room:</t>
  </si>
  <si>
    <t>Worst performing room:</t>
  </si>
  <si>
    <t>SPF:</t>
  </si>
  <si>
    <t xml:space="preserve">Please confirm that the heat loss calculations for the room losses entered above have been done in accordance with BS EN 12831 </t>
  </si>
  <si>
    <t xml:space="preserve">I declare that, to the best of my knowledge and belief, the information provided as part of this form is accurate with respect to the property for which these calculations are provided.  </t>
  </si>
  <si>
    <t>MCS-certified installer signature:</t>
  </si>
  <si>
    <t xml:space="preserve">Date: </t>
  </si>
  <si>
    <t>Ground Source Heat Pump</t>
  </si>
  <si>
    <t>Air Source Heat Pump</t>
  </si>
  <si>
    <t>Screed</t>
  </si>
  <si>
    <t>Alu. Panel</t>
  </si>
  <si>
    <t>Tile</t>
  </si>
  <si>
    <t>&gt;60</t>
  </si>
  <si>
    <t>Wood</t>
  </si>
  <si>
    <t>Carpet</t>
  </si>
  <si>
    <t>PS≤100</t>
  </si>
  <si>
    <t>PS≤150</t>
  </si>
  <si>
    <t>PS≤200</t>
  </si>
  <si>
    <t>PS≤250</t>
  </si>
  <si>
    <t>PS≤300</t>
  </si>
  <si>
    <t>*</t>
  </si>
  <si>
    <t>**</t>
  </si>
  <si>
    <t>****</t>
  </si>
  <si>
    <t>*****</t>
  </si>
  <si>
    <t>******</t>
  </si>
  <si>
    <t>3.0</t>
  </si>
  <si>
    <t>Domestic RHI Heat Pump SPF Calculator</t>
  </si>
  <si>
    <t>Version:</t>
  </si>
  <si>
    <t>1.1</t>
  </si>
  <si>
    <t>March 2014</t>
  </si>
  <si>
    <r>
      <t>• Always save this spreadsheet as a '</t>
    </r>
    <r>
      <rPr>
        <b/>
        <sz val="11"/>
        <color theme="1"/>
        <rFont val="Calibri"/>
        <family val="2"/>
        <scheme val="minor"/>
      </rPr>
      <t>Macro-enabled</t>
    </r>
    <r>
      <rPr>
        <sz val="11"/>
        <color theme="1"/>
        <rFont val="Calibri"/>
        <family val="2"/>
        <scheme val="minor"/>
      </rPr>
      <t>' workbook ('.xlsm')</t>
    </r>
  </si>
  <si>
    <t>[File &gt; Save As &gt; Excel Macro-Enabled Workbook]</t>
  </si>
  <si>
    <t>Who needs to use this tool?</t>
  </si>
  <si>
    <t>• This tool is for MCS certified installers who have been commissioned to assess the Seasonal Performance Factor (SPF) of a heat pump on behalf of legacy applicants to the Domestic RHI</t>
  </si>
  <si>
    <t>• This tool must be completed in line with the MCS Heat Emitter Guide for Domestic Heat Pumps</t>
  </si>
  <si>
    <t>What should I do next?</t>
  </si>
  <si>
    <t xml:space="preserve">• Email a copy of the completed SPF Calculator in the following format: </t>
  </si>
  <si>
    <t xml:space="preserve">To: </t>
  </si>
  <si>
    <t>DomesticRHI@ofgem.gov.uk</t>
  </si>
  <si>
    <t>Subject:</t>
  </si>
  <si>
    <t>&lt;[MCS-XXXXXXXX-X] [applicant name] SPF Calculator&gt;</t>
  </si>
  <si>
    <t>Attachments:</t>
  </si>
  <si>
    <t>&lt;A copy of this spreadsheet, saved as 'MCS-XXXXXXXX-X SPF Calculator.xlsm'&gt;</t>
  </si>
  <si>
    <t>Text:</t>
  </si>
  <si>
    <t>Installation postcode:</t>
  </si>
  <si>
    <t>Applicant name:</t>
  </si>
  <si>
    <t>MCS Certificate number:</t>
  </si>
  <si>
    <t>• All MCS certified installers will need to complete  this spreadsheet if an spf of over 2.5 is claimed</t>
  </si>
  <si>
    <t>Room 16</t>
  </si>
  <si>
    <t>Room 17</t>
  </si>
  <si>
    <t>Room 18</t>
  </si>
  <si>
    <t>Room 19</t>
  </si>
  <si>
    <t>Room 20</t>
  </si>
  <si>
    <t>Room 21</t>
  </si>
  <si>
    <t>Room 22</t>
  </si>
  <si>
    <t>Room 23</t>
  </si>
  <si>
    <t>Room 24</t>
  </si>
  <si>
    <t xml:space="preserve">we have assumed here that the radiators NOW installed with the heat pump running are as per the heat loss calc sheet </t>
  </si>
  <si>
    <t>v 20  added spf sheet to calculator to prove spfs of over 2.5</t>
  </si>
  <si>
    <t xml:space="preserve">and </t>
  </si>
  <si>
    <t>v 20 added rhi disclaimer now rhi launched, to run cost sheet</t>
  </si>
  <si>
    <t>v20.1 added split calulations to calculator</t>
  </si>
  <si>
    <t xml:space="preserve">v20.1 added volume calculation to rads in heat loss sheet </t>
  </si>
  <si>
    <t xml:space="preserve">v20.2 hide spf calculator </t>
  </si>
  <si>
    <t>v20.2 add 7 day legionella option</t>
  </si>
  <si>
    <t>how many times will legionella function be performed per week?</t>
  </si>
  <si>
    <t>v20.2 add links to mcs web page for units</t>
  </si>
  <si>
    <t>v20.2 extra pump run cost function in run costs and calcs corrected to £s/yr</t>
  </si>
  <si>
    <t>v20.3 deleted option for secondary glazing from top section of the heat loss calculator so reduction in u value cant be done twice</t>
  </si>
  <si>
    <t xml:space="preserve">v20.4 MCS numbers inserted &amp; links given. </t>
  </si>
  <si>
    <t>If it’s a hybrid put in "PARTIAL", if its not a hybrid put in "FULL"</t>
  </si>
  <si>
    <t>full codes found on "MCS calc and run cost" sheet, column K &amp; L, rows 55 to 76</t>
  </si>
  <si>
    <t>v20.5 changed calculation for more than 3 pumps, error found in maths</t>
  </si>
  <si>
    <t>v20.5 changed direct debit information to work with hybrids and non hybrids</t>
  </si>
  <si>
    <t>v20.5 changed heat loss sheet so radiators default to 0 if UFH selected</t>
  </si>
  <si>
    <t>v20.5 changed Summary sheet to say no to radiator changes if hybrid chosen</t>
  </si>
  <si>
    <t>Corrected Gnd temp</t>
  </si>
  <si>
    <t>v20.5 new samsung logo</t>
  </si>
  <si>
    <t>v20.5 simplify heat loss calculator</t>
  </si>
  <si>
    <t xml:space="preserve">Water Cylinder Selection </t>
  </si>
  <si>
    <t>Corrected Amb temp</t>
  </si>
  <si>
    <t xml:space="preserve">UFH flow rate l/min at 5C delta T (flow - return) </t>
  </si>
  <si>
    <t>BBA 0104/01</t>
  </si>
  <si>
    <t>BBA 0104/10</t>
  </si>
  <si>
    <t>BBA 0104/13</t>
  </si>
  <si>
    <t>BBA 0104/07</t>
  </si>
  <si>
    <t>BBA 0104/06</t>
  </si>
  <si>
    <t>BBA 0104/05</t>
  </si>
  <si>
    <t>BBA 0104/04</t>
  </si>
  <si>
    <t>BBA 0104/03</t>
  </si>
  <si>
    <t>BBA 0104</t>
  </si>
  <si>
    <t xml:space="preserve">v20.6 mcs compliance sheet now lists exact unit in mcs number </t>
  </si>
  <si>
    <t>v20.6 we now increase load in high ceiling areas by up to 6% at 8m</t>
  </si>
  <si>
    <t>v20.6 set default of secondary glazing to no and changed formula in c13 to suit</t>
  </si>
  <si>
    <t xml:space="preserve">v20.7 added rad sizes to summary sheet and parts required </t>
  </si>
  <si>
    <t>electrical energy input to HP at 2.5 SPF (HW IS ALWAYS CALCULATED AT 2.5 SPF)</t>
  </si>
  <si>
    <t>v21.1 modified radiator temperature calc in all rooms after room 1</t>
  </si>
  <si>
    <t xml:space="preserve">v21.1 changed print size for compliance sheet </t>
  </si>
  <si>
    <t xml:space="preserve">v21.1 peak heat output figures inserted on graphs </t>
  </si>
  <si>
    <t>v21.1 added peak values of the graphs</t>
  </si>
  <si>
    <t xml:space="preserve">v21.2 error in total floor area found and removed </t>
  </si>
  <si>
    <t xml:space="preserve">load kw </t>
  </si>
  <si>
    <t>DC type 22</t>
  </si>
  <si>
    <r>
      <rPr>
        <b/>
        <sz val="10"/>
        <rFont val="Arial"/>
        <family val="2"/>
      </rPr>
      <t>Myson</t>
    </r>
    <r>
      <rPr>
        <sz val="10"/>
        <rFont val="Arial"/>
        <family val="2"/>
      </rPr>
      <t xml:space="preserve"> Radiator width mm</t>
    </r>
  </si>
  <si>
    <r>
      <rPr>
        <b/>
        <sz val="10"/>
        <rFont val="Arial"/>
        <family val="2"/>
      </rPr>
      <t>Myson</t>
    </r>
    <r>
      <rPr>
        <sz val="10"/>
        <rFont val="Arial"/>
        <family val="2"/>
      </rPr>
      <t xml:space="preserve"> Radiator Height mm</t>
    </r>
  </si>
  <si>
    <t xml:space="preserve">this uses the uplift factor from the top of the sheet. However from the Myson table (see Myson tab) you can see the radiator below will also cope with the load. </t>
  </si>
  <si>
    <t>Radiator output Watts required if you want to select one yourself at 50C delta T from a radiator table to suit heat emmitter guide</t>
  </si>
  <si>
    <t xml:space="preserve">amb temp rad is sized </t>
  </si>
  <si>
    <t xml:space="preserve">Heat Emitters </t>
  </si>
  <si>
    <t xml:space="preserve">Ventilation loss Air change/hr </t>
  </si>
  <si>
    <t>Floor Construction</t>
  </si>
  <si>
    <t>Floor Area m^2</t>
  </si>
  <si>
    <t>Roof / Ceiling Construction</t>
  </si>
  <si>
    <t>Roof light Area m^2</t>
  </si>
  <si>
    <t>External Roof Area * m^2</t>
  </si>
  <si>
    <t>Window Type</t>
  </si>
  <si>
    <t>Total Window Area m^2</t>
  </si>
  <si>
    <t>External Wall Type</t>
  </si>
  <si>
    <t>Total length Of All External Walls m</t>
  </si>
  <si>
    <t>Average Ceiling Height m</t>
  </si>
  <si>
    <t xml:space="preserve">Total Heat Loss </t>
  </si>
  <si>
    <t>U Values</t>
  </si>
  <si>
    <t>Desired Room Temperature C</t>
  </si>
  <si>
    <t>Star rating</t>
  </si>
  <si>
    <t>spf</t>
  </si>
  <si>
    <t>uplift factor</t>
  </si>
  <si>
    <t>Plasterboard 8 inch cavity T&amp;G boards</t>
  </si>
  <si>
    <t>wood 100mm insulation board to outside</t>
  </si>
  <si>
    <t>All recommended radiator sizes are based on Myson Select Compact range 2014 see myson tab for details</t>
  </si>
  <si>
    <t>All heat loads are calculated using the figures provided by the customer, All calculations are based on information supplied, it is your responsibility to check these figures are correct.</t>
  </si>
  <si>
    <t>Approx system volume</t>
  </si>
  <si>
    <t xml:space="preserve">MCS Ground temp </t>
  </si>
  <si>
    <t xml:space="preserve">Star Rating </t>
  </si>
  <si>
    <t>MCS Ambient temp</t>
  </si>
  <si>
    <t xml:space="preserve">Radiator Uplift Factor </t>
  </si>
  <si>
    <t>secondary glazing</t>
  </si>
  <si>
    <t>Heating Design water flow temp C</t>
  </si>
  <si>
    <t>PM70DC 200</t>
  </si>
  <si>
    <t>PM70SC 200</t>
  </si>
  <si>
    <t>PM70DC 180</t>
  </si>
  <si>
    <t>PM70SC 180</t>
  </si>
  <si>
    <t>PM70DC 160</t>
  </si>
  <si>
    <t>PM70SC 160</t>
  </si>
  <si>
    <t>PM70DC 140</t>
  </si>
  <si>
    <t>PM70SC 140</t>
  </si>
  <si>
    <t>PM70DC 120</t>
  </si>
  <si>
    <t>PM70SC 120</t>
  </si>
  <si>
    <t>PM70DC 110</t>
  </si>
  <si>
    <t>PM70SC 110</t>
  </si>
  <si>
    <t>PM70DC 100</t>
  </si>
  <si>
    <t>PM70SC 100</t>
  </si>
  <si>
    <t>PM70DC 90</t>
  </si>
  <si>
    <t>PM70SC 90</t>
  </si>
  <si>
    <t>PM70DC 80</t>
  </si>
  <si>
    <t>PM70SC 80</t>
  </si>
  <si>
    <t>PM70DC 70</t>
  </si>
  <si>
    <t>PM70SC 70</t>
  </si>
  <si>
    <t>PM70DC 60</t>
  </si>
  <si>
    <t>PM70SC 60</t>
  </si>
  <si>
    <t>PM70DC 50</t>
  </si>
  <si>
    <t>PM70SC 50</t>
  </si>
  <si>
    <t>PM70DC 40</t>
  </si>
  <si>
    <t>PM70SC 40</t>
  </si>
  <si>
    <t>PM60DC 200</t>
  </si>
  <si>
    <t>PM60SC 200</t>
  </si>
  <si>
    <t>PM60DC 180</t>
  </si>
  <si>
    <t>PM60SC 180</t>
  </si>
  <si>
    <t>PM60DC 160</t>
  </si>
  <si>
    <t>PM60SC 160</t>
  </si>
  <si>
    <t>PM60DC 140</t>
  </si>
  <si>
    <t>PM60SC 140</t>
  </si>
  <si>
    <t>PM60DC 120</t>
  </si>
  <si>
    <t>PM60SC 120</t>
  </si>
  <si>
    <t>PM60DC 110</t>
  </si>
  <si>
    <t>PM60SC 110</t>
  </si>
  <si>
    <t>PM60DC 100</t>
  </si>
  <si>
    <t>PM60SC 100</t>
  </si>
  <si>
    <t>PM60DC 90</t>
  </si>
  <si>
    <t>PM60SC 90</t>
  </si>
  <si>
    <t>PM60DC 80</t>
  </si>
  <si>
    <t>PM60SC 80</t>
  </si>
  <si>
    <t>PM60DC 70</t>
  </si>
  <si>
    <t>PM60SC 70</t>
  </si>
  <si>
    <t>PM60DC 60</t>
  </si>
  <si>
    <t>PM60SC 60</t>
  </si>
  <si>
    <t>PM60DC 50</t>
  </si>
  <si>
    <t>PM60SC 50</t>
  </si>
  <si>
    <t>PM60DC 40</t>
  </si>
  <si>
    <t>PM60SC 40</t>
  </si>
  <si>
    <t>PM45DC 200</t>
  </si>
  <si>
    <t>PM45SC 200</t>
  </si>
  <si>
    <t>PM45DC 180</t>
  </si>
  <si>
    <t>PM45SC 180</t>
  </si>
  <si>
    <t>PM45DC 160</t>
  </si>
  <si>
    <t>PM45SC 160</t>
  </si>
  <si>
    <t>PM45DC 140</t>
  </si>
  <si>
    <t>PM45SC 140</t>
  </si>
  <si>
    <t>PM45DC 120</t>
  </si>
  <si>
    <t>PM45SC 120</t>
  </si>
  <si>
    <t>PM45DC 110</t>
  </si>
  <si>
    <t>PM45SC 110</t>
  </si>
  <si>
    <t>PM45DC 100</t>
  </si>
  <si>
    <t>PM45SC 100</t>
  </si>
  <si>
    <t>PM45DC 90</t>
  </si>
  <si>
    <t>PM45DPX 90</t>
  </si>
  <si>
    <t>PM45SC 90</t>
  </si>
  <si>
    <t>PM45DC 80</t>
  </si>
  <si>
    <t>PM45DPX 80</t>
  </si>
  <si>
    <t>PM45SC 80</t>
  </si>
  <si>
    <t>PM45DC 70</t>
  </si>
  <si>
    <t>PM45DPX 70</t>
  </si>
  <si>
    <t>PM45SC 70</t>
  </si>
  <si>
    <t>PM45DC 60</t>
  </si>
  <si>
    <t>PM45DPX 60</t>
  </si>
  <si>
    <t>PM45SC 60</t>
  </si>
  <si>
    <t>PM45DC 50</t>
  </si>
  <si>
    <t>PM45DPX 50</t>
  </si>
  <si>
    <t>PM45SC 50</t>
  </si>
  <si>
    <t>PM45DC 40</t>
  </si>
  <si>
    <t>PM45DPX 40</t>
  </si>
  <si>
    <t>PM45SC 40</t>
  </si>
  <si>
    <t>mm</t>
  </si>
  <si>
    <t>kW/m length</t>
  </si>
  <si>
    <t>W/M^2</t>
  </si>
  <si>
    <t>type 22</t>
  </si>
  <si>
    <t>type 21</t>
  </si>
  <si>
    <t>type 11</t>
  </si>
  <si>
    <t>length</t>
  </si>
  <si>
    <t xml:space="preserve">height </t>
  </si>
  <si>
    <t>at 50C delta T</t>
  </si>
  <si>
    <t>http://www.myson.co.uk/static_files/my/media/downloads/26531_Panel_Tech_Guide_WEB_WITH_DATES.pdf</t>
  </si>
  <si>
    <t>l/m^2</t>
  </si>
  <si>
    <t>volume l</t>
  </si>
  <si>
    <t>At 30C delta t</t>
  </si>
  <si>
    <t>Samsung 14kW mono</t>
  </si>
  <si>
    <t>Samsung 6kW Split</t>
  </si>
  <si>
    <t>Samsung 14kW Split</t>
  </si>
  <si>
    <t>Samsung 16kW Split</t>
  </si>
  <si>
    <t>Choose heat pump here</t>
  </si>
  <si>
    <t>saving over old system</t>
  </si>
  <si>
    <t>estimated run cost /yr</t>
  </si>
  <si>
    <t xml:space="preserve">Current Heating System </t>
  </si>
  <si>
    <t>Carbon Intensity kgCO2/kWhr heat</t>
  </si>
  <si>
    <t>estimated heating and hw bill p/a</t>
  </si>
  <si>
    <t xml:space="preserve">mcs number of unit installed </t>
  </si>
  <si>
    <t xml:space="preserve">model </t>
  </si>
  <si>
    <t xml:space="preserve">mcs number </t>
  </si>
  <si>
    <t>Samsung 12kW mono</t>
  </si>
  <si>
    <t>New Heating System</t>
  </si>
  <si>
    <t>CO2 saving kg per year</t>
  </si>
  <si>
    <t xml:space="preserve">calculator will tell you wheteher it is undersized or not, it will also recommend a radiator from the myson range which will do the job </t>
  </si>
  <si>
    <t>v22 changed round the calulations, added rad uplift factor, added new rad sizing tool and myson catalogue</t>
  </si>
  <si>
    <t>v22 added star rating, simplified run cost calcs</t>
  </si>
  <si>
    <t>v22 moved secondary glazing to the window type</t>
  </si>
  <si>
    <t xml:space="preserve">v22 moved hp selector to graph page and added manaul hp selector </t>
  </si>
  <si>
    <t xml:space="preserve">once the rooms heat loss is complete choose wheteher you want to use rads or ufh to heat it. If you put in a radiator size the </t>
  </si>
  <si>
    <t>v22.1 modification to selected radiator size to suit myson sheet</t>
  </si>
  <si>
    <t xml:space="preserve">v22.2 corrected mcs number </t>
  </si>
  <si>
    <t>v22.3 further revision to rads see 22.1</t>
  </si>
  <si>
    <t>2 x Samsung 12kW mono</t>
  </si>
  <si>
    <t xml:space="preserve">v22.4 added 12s to graphs </t>
  </si>
  <si>
    <t>degree days</t>
  </si>
  <si>
    <t>v22.4 degree days modified to new figures</t>
  </si>
  <si>
    <t>v22.4 added solar pv data</t>
  </si>
  <si>
    <r>
      <t>Degree Day data from CIBSE Guide A</t>
    </r>
    <r>
      <rPr>
        <sz val="10"/>
        <color indexed="8"/>
        <rFont val="Arial"/>
        <family val="2"/>
      </rPr>
      <t xml:space="preserve"> (base temperature 15.5 °C) 1976-1995</t>
    </r>
  </si>
  <si>
    <t>solar pv contribution</t>
  </si>
  <si>
    <t>kwhrs/mnth / 3</t>
  </si>
  <si>
    <t>used</t>
  </si>
  <si>
    <t>solar pv available</t>
  </si>
  <si>
    <t>plymouth</t>
  </si>
  <si>
    <t>manchester</t>
  </si>
  <si>
    <t>edinburgh</t>
  </si>
  <si>
    <t>belfast</t>
  </si>
  <si>
    <t>birmingham</t>
  </si>
  <si>
    <t>jan</t>
  </si>
  <si>
    <t>feb</t>
  </si>
  <si>
    <t>mar</t>
  </si>
  <si>
    <t>apr</t>
  </si>
  <si>
    <t>may</t>
  </si>
  <si>
    <t>jun</t>
  </si>
  <si>
    <t>jul</t>
  </si>
  <si>
    <t>aug</t>
  </si>
  <si>
    <t>sep</t>
  </si>
  <si>
    <t>oct</t>
  </si>
  <si>
    <t>nov</t>
  </si>
  <si>
    <t>dec</t>
  </si>
  <si>
    <t>v22.4 changed compliance air temp to 21</t>
  </si>
  <si>
    <t>v22.1 corrected selection of glasgow and edinburgh</t>
  </si>
  <si>
    <t>v22.4 solar maths added</t>
  </si>
  <si>
    <t>cost of fossil fuel / kwhr</t>
  </si>
  <si>
    <t>v22.5 adjusted run costs in hybrid mode to show average heating cost per kwHr</t>
  </si>
  <si>
    <t>v23 changed ref to mcs v4.1 21/2/15</t>
  </si>
  <si>
    <t>Zero</t>
  </si>
  <si>
    <t xml:space="preserve">v23.1 allowed more choice of old and new boiler in mcs run cost page </t>
  </si>
  <si>
    <t>v23.2 hide all the maths in the mcs run cost calc</t>
  </si>
  <si>
    <t xml:space="preserve">Project Reference: </t>
  </si>
  <si>
    <t>Customer Name:</t>
  </si>
  <si>
    <t>Installation Address :</t>
  </si>
  <si>
    <t>Phone Number/Mobile:</t>
  </si>
  <si>
    <t>Customer Email:</t>
  </si>
  <si>
    <t xml:space="preserve">Survey carried out by: </t>
  </si>
  <si>
    <t xml:space="preserve">Date of survey: </t>
  </si>
  <si>
    <r>
      <t>System Design Temperature (</t>
    </r>
    <r>
      <rPr>
        <b/>
        <sz val="10"/>
        <color rgb="FF000000"/>
        <rFont val="Calibri"/>
        <family val="2"/>
        <scheme val="minor"/>
      </rPr>
      <t>°C</t>
    </r>
    <r>
      <rPr>
        <b/>
        <sz val="10"/>
        <color theme="1"/>
        <rFont val="Calibri"/>
        <family val="2"/>
        <scheme val="minor"/>
      </rPr>
      <t xml:space="preserve"> ) </t>
    </r>
  </si>
  <si>
    <t>Temperature Star Rating</t>
  </si>
  <si>
    <t>Heat Loss (W/m²)</t>
  </si>
  <si>
    <t>Emitter Type</t>
  </si>
  <si>
    <t xml:space="preserve">kWh </t>
  </si>
  <si>
    <t>Tariff:</t>
  </si>
  <si>
    <t>(p/kWh)</t>
  </si>
  <si>
    <t xml:space="preserve">Costs for space heating </t>
  </si>
  <si>
    <t>£</t>
  </si>
  <si>
    <t xml:space="preserve">Costs for hot water heating </t>
  </si>
  <si>
    <t>v23.2 add mcs performance estimate to sheet</t>
  </si>
  <si>
    <t>MCS Performance Estimate</t>
  </si>
  <si>
    <t>and</t>
  </si>
  <si>
    <t>Running costs</t>
  </si>
  <si>
    <t>(kWh/yr)</t>
  </si>
  <si>
    <t>A</t>
  </si>
  <si>
    <t>Estimate for your current heating cost per year</t>
  </si>
  <si>
    <t>(£/yr)</t>
  </si>
  <si>
    <t>The proposed heat pump will run on electricity and is able to supply the same heat demand whilst consuming less energy</t>
  </si>
  <si>
    <t>B</t>
  </si>
  <si>
    <t>D</t>
  </si>
  <si>
    <t>E</t>
  </si>
  <si>
    <t>F</t>
  </si>
  <si>
    <r>
      <t>Estimated</t>
    </r>
    <r>
      <rPr>
        <b/>
        <sz val="10"/>
        <color rgb="FF000000"/>
        <rFont val="Calibri"/>
        <family val="2"/>
        <scheme val="minor"/>
      </rPr>
      <t xml:space="preserve"> Total income and savings per year (C + E)</t>
    </r>
  </si>
  <si>
    <t>G</t>
  </si>
  <si>
    <t>Total cost of installation (inc VAT)</t>
  </si>
  <si>
    <t>(£)</t>
  </si>
  <si>
    <t>Payback calculated by dividing the fully installed cost (G) by the annual system benefit (F)</t>
  </si>
  <si>
    <t>Over seven years the system benefit would be (7xF)</t>
  </si>
  <si>
    <t xml:space="preserve">Your heat pump is expected to provide </t>
  </si>
  <si>
    <t>£ / yr</t>
  </si>
  <si>
    <t>kwhrs/yr</t>
  </si>
  <si>
    <t xml:space="preserve">Assuming an electricity unit price of </t>
  </si>
  <si>
    <t>£/kWhr</t>
  </si>
  <si>
    <t>Payback</t>
  </si>
  <si>
    <r>
      <t>Estimated</t>
    </r>
    <r>
      <rPr>
        <b/>
        <sz val="10"/>
        <color rgb="FF000000"/>
        <rFont val="Calibri"/>
        <family val="2"/>
        <scheme val="minor"/>
      </rPr>
      <t xml:space="preserve"> Annual RHI income </t>
    </r>
  </si>
  <si>
    <t>payback period</t>
  </si>
  <si>
    <t xml:space="preserve">% of your space heating </t>
  </si>
  <si>
    <t>You will need an immersion heater to heat</t>
  </si>
  <si>
    <r>
      <t xml:space="preserve">Your </t>
    </r>
    <r>
      <rPr>
        <b/>
        <u/>
        <sz val="10"/>
        <color theme="1"/>
        <rFont val="Calibri"/>
        <family val="2"/>
        <scheme val="minor"/>
      </rPr>
      <t>Estimated</t>
    </r>
    <r>
      <rPr>
        <b/>
        <sz val="10"/>
        <color theme="1"/>
        <rFont val="Calibri"/>
        <family val="2"/>
        <scheme val="minor"/>
      </rPr>
      <t xml:space="preserve"> RHI Calculation based on the Heat Loss Calculation </t>
    </r>
  </si>
  <si>
    <t xml:space="preserve">H </t>
  </si>
  <si>
    <t>(yrs)</t>
  </si>
  <si>
    <t>Estimated energy eligible for RHI</t>
  </si>
  <si>
    <t>Predicted heat usage as stated on your heat load calculation</t>
  </si>
  <si>
    <t>We estimate that your new annual running costs will be</t>
  </si>
  <si>
    <t>Calculate annual energy saving (A-B)</t>
  </si>
  <si>
    <t>Annual system output from your Heat load calculation</t>
  </si>
  <si>
    <r>
      <t xml:space="preserve">Your </t>
    </r>
    <r>
      <rPr>
        <b/>
        <u/>
        <sz val="10"/>
        <color theme="1"/>
        <rFont val="Calibri"/>
        <family val="2"/>
        <scheme val="minor"/>
      </rPr>
      <t>Estimated</t>
    </r>
    <r>
      <rPr>
        <sz val="10"/>
        <color theme="1"/>
        <rFont val="Calibri"/>
        <family val="2"/>
        <scheme val="minor"/>
      </rPr>
      <t xml:space="preserve"> RHI Income based on HLC</t>
    </r>
  </si>
  <si>
    <t>estimated heat energy provided by Heat pump</t>
  </si>
  <si>
    <t xml:space="preserve">Costs for immersion heating </t>
  </si>
  <si>
    <t>total cost of heating and Hot water</t>
  </si>
  <si>
    <t>v24 changed pv figure to value per kw of pv installed</t>
  </si>
  <si>
    <t xml:space="preserve">v24 added the new MCS performance estimate sheet </t>
  </si>
  <si>
    <t xml:space="preserve">% of your hot water </t>
  </si>
  <si>
    <t>v24 commercial rhi deleted from heat load calculation</t>
  </si>
  <si>
    <t xml:space="preserve">v24.1 add jersey data and add a box to change the electricity price to the run costs </t>
  </si>
  <si>
    <t xml:space="preserve">current electricity price </t>
  </si>
  <si>
    <t>£/kwhr</t>
  </si>
  <si>
    <t xml:space="preserve"> direct debit for heating / month</t>
  </si>
  <si>
    <t xml:space="preserve">v24.2 added formatting to every room to show tick and cross, updated rhi to 7.42p/kwhr </t>
  </si>
  <si>
    <t>Jersey</t>
  </si>
  <si>
    <t xml:space="preserve">v24.2 added added the jersey maths which didn’t work </t>
  </si>
  <si>
    <t xml:space="preserve">v 24.2 nat gas and hp maths stopped working on run cost now fixed </t>
  </si>
  <si>
    <t>Samsung 4kW Split</t>
  </si>
  <si>
    <t>Samsung 5kW mono</t>
  </si>
  <si>
    <t>Samsung 9kW Split</t>
  </si>
  <si>
    <t>Samsung 12kW Split</t>
  </si>
  <si>
    <t>power dBa</t>
  </si>
  <si>
    <t>pressure dBa</t>
  </si>
  <si>
    <t xml:space="preserve">v 30 new gen 4 units added </t>
  </si>
  <si>
    <t>v30 new sound checker added for gen 4</t>
  </si>
  <si>
    <t>Samsung 12kw Split</t>
  </si>
  <si>
    <t>TBC</t>
  </si>
  <si>
    <t xml:space="preserve">v 30 check maths of the performance estimate </t>
  </si>
  <si>
    <t>MCS HP0227/01</t>
  </si>
  <si>
    <t>MCS HP0227/02</t>
  </si>
  <si>
    <t>MCS HP0227/03</t>
  </si>
  <si>
    <t>MCS HP0227/04</t>
  </si>
  <si>
    <t xml:space="preserve">v30 add mcs numbers to excel </t>
  </si>
  <si>
    <t>v30 new capacity data added</t>
  </si>
  <si>
    <t xml:space="preserve">v30 added 12kW x 2 data </t>
  </si>
  <si>
    <t>v30.1 adjusted the co2 maths for an error in hybrid mode</t>
  </si>
  <si>
    <t xml:space="preserve">v30.2 change ref to v3.4 of mcs </t>
  </si>
  <si>
    <t>This calculator is based on EN12831 and MCS guidelines in MIS3005 v4.3, 16/9/2015</t>
  </si>
  <si>
    <t>SC_type11</t>
  </si>
  <si>
    <t>v30.3 changed air calc to suit adjusted psychometrics.</t>
  </si>
  <si>
    <t>Ambient design  temp</t>
  </si>
  <si>
    <t>Freedom Heat pumps take no responsibility for this calculation, it should be used as a guideline only</t>
  </si>
  <si>
    <t>Pool wall construction</t>
  </si>
  <si>
    <t>cover type</t>
  </si>
  <si>
    <t>Desired pool Temperature C</t>
  </si>
  <si>
    <t>pool length</t>
  </si>
  <si>
    <t xml:space="preserve">pool depth shallow end </t>
  </si>
  <si>
    <t xml:space="preserve">pool surface area </t>
  </si>
  <si>
    <t>pool width</t>
  </si>
  <si>
    <t xml:space="preserve">pool depth deep end </t>
  </si>
  <si>
    <t>pool volume litres</t>
  </si>
  <si>
    <t>heat loss into ground</t>
  </si>
  <si>
    <t>heat loss from surface</t>
  </si>
  <si>
    <t>Heat loss for Pools</t>
  </si>
  <si>
    <t>u value</t>
  </si>
  <si>
    <t xml:space="preserve">All heat loads are calculated using the figures provided by the customer, </t>
  </si>
  <si>
    <t>All calculations are based on information supplied, it is your responsibility to check these figures are correct.</t>
  </si>
  <si>
    <r>
      <t>For a </t>
    </r>
    <r>
      <rPr>
        <i/>
        <sz val="11"/>
        <color rgb="FF000000"/>
        <rFont val="Arial"/>
        <family val="2"/>
      </rPr>
      <t>25 m x 20 m</t>
    </r>
    <r>
      <rPr>
        <sz val="11"/>
        <color rgb="FF000000"/>
        <rFont val="Arial"/>
        <family val="2"/>
      </rPr>
      <t> swimming pool and </t>
    </r>
    <r>
      <rPr>
        <i/>
        <sz val="11"/>
        <color rgb="FF000000"/>
        <rFont val="Arial"/>
        <family val="2"/>
      </rPr>
      <t>0.5 m/s</t>
    </r>
    <r>
      <rPr>
        <sz val="11"/>
        <color rgb="FF000000"/>
        <rFont val="Arial"/>
        <family val="2"/>
      </rPr>
      <t> air velocity above the surface, the evaporation can be calculated as:</t>
    </r>
  </si>
  <si>
    <r>
      <t>g</t>
    </r>
    <r>
      <rPr>
        <i/>
        <vertAlign val="subscript"/>
        <sz val="11"/>
        <color rgb="FF000000"/>
        <rFont val="Arial"/>
        <family val="2"/>
      </rPr>
      <t>s</t>
    </r>
    <r>
      <rPr>
        <i/>
        <sz val="11"/>
        <color rgb="FF000000"/>
        <rFont val="Arial"/>
        <family val="2"/>
      </rPr>
      <t> = ( 25 + 19 (0.5 m/s)) ((25 m) (20 m)) ((0.02 kg/kg) - (0.0098kg/kg)) / 3600</t>
    </r>
  </si>
  <si>
    <r>
      <t>= </t>
    </r>
    <r>
      <rPr>
        <i/>
        <u/>
        <sz val="11"/>
        <color rgb="FF000000"/>
        <rFont val="Arial"/>
        <family val="2"/>
      </rPr>
      <t>0.049</t>
    </r>
    <r>
      <rPr>
        <i/>
        <sz val="11"/>
        <color rgb="FF000000"/>
        <rFont val="Arial"/>
        <family val="2"/>
      </rPr>
      <t> kg/s</t>
    </r>
  </si>
  <si>
    <t>The evaporation heat supply required to maintain the temperature of the water can be calculated as:</t>
  </si>
  <si>
    <t>q = (2257 kJ/kg) (0.049 kg/s)</t>
  </si>
  <si>
    <r>
      <t>= </t>
    </r>
    <r>
      <rPr>
        <i/>
        <u/>
        <sz val="11"/>
        <color rgb="FF000000"/>
        <rFont val="Arial"/>
        <family val="2"/>
      </rPr>
      <t>110.6</t>
    </r>
    <r>
      <rPr>
        <i/>
        <sz val="11"/>
        <color rgb="FF000000"/>
        <rFont val="Arial"/>
        <family val="2"/>
      </rPr>
      <t> kW</t>
    </r>
  </si>
  <si>
    <t>l/sec</t>
  </si>
  <si>
    <t>wind velocity</t>
  </si>
  <si>
    <t>water evaporation</t>
  </si>
  <si>
    <t>part L for internal pools</t>
  </si>
  <si>
    <t>foam filled slats</t>
  </si>
  <si>
    <t>no cover</t>
  </si>
  <si>
    <t>400 grade plastic</t>
  </si>
  <si>
    <t>0.5mm cover</t>
  </si>
  <si>
    <t>0.8mm cover</t>
  </si>
  <si>
    <t>pool start temperature</t>
  </si>
  <si>
    <t>Required heat up time hours</t>
  </si>
  <si>
    <t>heat up duty</t>
  </si>
  <si>
    <t>m/sec</t>
  </si>
  <si>
    <t>hours</t>
  </si>
  <si>
    <t xml:space="preserve">temp drop with cover off </t>
  </si>
  <si>
    <t>C/hr</t>
  </si>
  <si>
    <t>l</t>
  </si>
  <si>
    <t>heat pump required</t>
  </si>
  <si>
    <t>indoor</t>
  </si>
  <si>
    <t>outdoor</t>
  </si>
  <si>
    <t>outdoor moderate</t>
  </si>
  <si>
    <t>outdoor extreme</t>
  </si>
  <si>
    <t>Version 1.1</t>
  </si>
  <si>
    <t>www.freedomhp.co.uk</t>
  </si>
  <si>
    <t>Welcome to the  Freedom Heat pumps heat load estimation, system selection and radiator selector sheet</t>
  </si>
  <si>
    <t>sales@freedomhp.co.uk</t>
  </si>
  <si>
    <t>MCS HP0227/05</t>
  </si>
  <si>
    <t>MCS HP0227/02 and /05</t>
  </si>
  <si>
    <t>at temp</t>
  </si>
  <si>
    <t>kW nominal</t>
  </si>
  <si>
    <t>actual output -2 and 50c</t>
  </si>
  <si>
    <t>unit</t>
  </si>
  <si>
    <t>run temp</t>
  </si>
  <si>
    <t>scop at 55</t>
  </si>
  <si>
    <t>scop at 50</t>
  </si>
  <si>
    <t>scop at 45</t>
  </si>
  <si>
    <t>scop at 40</t>
  </si>
  <si>
    <t>scop at 35</t>
  </si>
  <si>
    <t>total kW/hr heat p/a inc hot water</t>
  </si>
  <si>
    <t xml:space="preserve">Heat Pump Selection </t>
  </si>
  <si>
    <t xml:space="preserve">Heat pump </t>
  </si>
  <si>
    <t>Freedom Heat pumps  heat pump sound checker</t>
  </si>
  <si>
    <t>There is a form in MCS called MCS020 which needs to be filled in to meet this requirement</t>
  </si>
  <si>
    <t>vii. SCOP of the heat pump at the design water temp</t>
  </si>
  <si>
    <t xml:space="preserve">Propelene Glycol </t>
  </si>
  <si>
    <t xml:space="preserve">weather compensated in built  thermostat controls flow temperature Tfsh to a maximum of 52C </t>
  </si>
  <si>
    <t>ASHP SCOP at design condition</t>
  </si>
  <si>
    <t>estimation of RHI Per year  between</t>
  </si>
  <si>
    <t xml:space="preserve">estimation of RHI over 7yrs, between </t>
  </si>
  <si>
    <t>rhi rate</t>
  </si>
  <si>
    <t>Planning permission, rules for air source heat pumps:</t>
  </si>
  <si>
    <t>Sighting the outdoor unit:</t>
  </si>
  <si>
    <r>
      <t>iv. All Room heat losses in watts (W) (or W/m</t>
    </r>
    <r>
      <rPr>
        <vertAlign val="superscript"/>
        <sz val="11"/>
        <color indexed="8"/>
        <rFont val="Arial"/>
        <family val="2"/>
      </rPr>
      <t>2</t>
    </r>
    <r>
      <rPr>
        <sz val="11"/>
        <color indexed="8"/>
        <rFont val="Arial"/>
        <family val="2"/>
      </rPr>
      <t xml:space="preserve"> together with floor areas)</t>
    </r>
  </si>
  <si>
    <t>02380 274833</t>
  </si>
  <si>
    <t xml:space="preserve">v40 new calulator now hav vaillant, eco forest, full scop data and pool calulator included </t>
  </si>
  <si>
    <t xml:space="preserve">electrical energy input to heat pump from SCOP </t>
  </si>
  <si>
    <t xml:space="preserve">SCOP of the unit at design temperature </t>
  </si>
  <si>
    <t>v40.1  add scop make it visible add ground coil sizing.</t>
  </si>
  <si>
    <t xml:space="preserve">v40.3 changed vent losses, add gshp loop pricing </t>
  </si>
  <si>
    <t>v40.3 Freedom1 and add slinkys</t>
  </si>
  <si>
    <t>Heat loss if known</t>
  </si>
  <si>
    <t>Figure from box "January, 39"</t>
  </si>
  <si>
    <t xml:space="preserve"> heat loss from the calculator</t>
  </si>
  <si>
    <t>House Heat Load</t>
  </si>
  <si>
    <t>Heat Loss from SAP</t>
  </si>
  <si>
    <t>System Type</t>
  </si>
  <si>
    <t>you can fill in the heat loss manually here or if you use the heat loss calulator it will do this for you.</t>
  </si>
  <si>
    <t>v41.0 add pricing and manual heat loss tools to equipment tab</t>
  </si>
  <si>
    <t>potential saving using 4KW of PV is installed on the roof</t>
  </si>
  <si>
    <t>v41.0 splits prices into labour and kit in ground loop and sorts out cylinder sizing in mutiple systems</t>
  </si>
  <si>
    <t>v41.1 Modifications to MCS maths for hot water</t>
  </si>
  <si>
    <t>no of kJoules needed to heat whole tank from cold</t>
  </si>
  <si>
    <t>kJ</t>
  </si>
  <si>
    <t>no of kJoules needed to heat tank after delay time</t>
  </si>
  <si>
    <t>immersion heater power</t>
  </si>
  <si>
    <t>immersion delay before starting</t>
  </si>
  <si>
    <t xml:space="preserve">time immersion runs for </t>
  </si>
  <si>
    <t>Total</t>
  </si>
  <si>
    <t>Cylinder coil size m^2</t>
  </si>
  <si>
    <t xml:space="preserve">Average coil heating capacity </t>
  </si>
  <si>
    <t>Glycol</t>
  </si>
  <si>
    <t>Pump Wattage</t>
  </si>
  <si>
    <t>Pump 1</t>
  </si>
  <si>
    <t>Pump 2</t>
  </si>
  <si>
    <t>Pump 3</t>
  </si>
  <si>
    <t>Pump 4</t>
  </si>
  <si>
    <t>Pump 5</t>
  </si>
  <si>
    <t>Immersion cost</t>
  </si>
  <si>
    <t>Heat Pump cost</t>
  </si>
  <si>
    <t>Cost of one cylinder heating cycle</t>
  </si>
  <si>
    <t>time taken to heat tank (Including Immersion)</t>
  </si>
  <si>
    <t>actual energy heat pump can put into coil</t>
  </si>
  <si>
    <t>Cylinder Recovery</t>
  </si>
  <si>
    <t>Output of heat pump (50C flow and -2C amb)</t>
  </si>
  <si>
    <t>ambient temp the boiler begin heating?</t>
  </si>
  <si>
    <t>heat supplied by immersion heater including 1hr for legionella/week</t>
  </si>
  <si>
    <t>% required for heating AND hot water</t>
  </si>
  <si>
    <t>v41.2 New cylinder recovery calc including immersions and cost</t>
  </si>
  <si>
    <t>v41.3 Calculated oversize factors to account for hot water demands</t>
  </si>
  <si>
    <r>
      <t xml:space="preserve">total renewable energy provided by HP for heating and HW, </t>
    </r>
    <r>
      <rPr>
        <b/>
        <sz val="10"/>
        <color theme="1"/>
        <rFont val="Arial"/>
        <family val="2"/>
      </rPr>
      <t>estimated annual generation</t>
    </r>
  </si>
  <si>
    <t>v42 Aesthetics</t>
  </si>
  <si>
    <t>Boiler + heat pump</t>
  </si>
  <si>
    <t>kWhrs heat provided by  boiler</t>
  </si>
  <si>
    <t>kWhrs provided by immersion</t>
  </si>
  <si>
    <t xml:space="preserve">oversize factor required for Hot water </t>
  </si>
  <si>
    <t>time to heat with hp only</t>
  </si>
  <si>
    <t>Cost Of Glycol</t>
  </si>
  <si>
    <t>Ground Loop Price</t>
  </si>
  <si>
    <t>Cylinder price</t>
  </si>
  <si>
    <t>*Insert your Logo Here*</t>
  </si>
  <si>
    <t>Heat Pump Price</t>
  </si>
  <si>
    <t>See ground loop tab for more info</t>
  </si>
  <si>
    <t>Everything below this line will not print.</t>
  </si>
  <si>
    <t>v43 Added more functionality for pricing in equipment tab</t>
  </si>
  <si>
    <t>Code 4 or higher</t>
  </si>
  <si>
    <t>Living rooms/Hallways</t>
  </si>
  <si>
    <t>v44 revised maths for the vent loss as it was giving a high reading now matches sap</t>
  </si>
  <si>
    <t xml:space="preserve">Notes: </t>
  </si>
  <si>
    <t>System at your Price</t>
  </si>
  <si>
    <t>Your Margin</t>
  </si>
  <si>
    <t>Including accessories at list price plus VAT</t>
  </si>
  <si>
    <t>As per your discount</t>
  </si>
  <si>
    <t>Installed System Total</t>
  </si>
  <si>
    <t>Margin Total</t>
  </si>
  <si>
    <t>v44.1 Made changes to the equipment tabs pricing functions. Also put in a discliamer on both the MCS calcs tab AND the ground loop tab</t>
  </si>
  <si>
    <t>v44.2 Increased boiler takeover temp on hybrids</t>
  </si>
  <si>
    <t>v44.3 Revised run costs fuel prices and ground loop size for slinks</t>
  </si>
  <si>
    <t>Heat pump discount</t>
  </si>
  <si>
    <t>Cylinder Discount</t>
  </si>
  <si>
    <t>v44.4 Revamped Ground loop calculations</t>
  </si>
  <si>
    <t>v44.5 Automated Cylinder's coil size based on Gledhill data for HP Cylinders and Tidied up a load of the back math for the pricing on the equipment page</t>
  </si>
  <si>
    <t>Data Entry Sheet</t>
  </si>
  <si>
    <t>Contact details</t>
  </si>
  <si>
    <t>Customer E-mail address</t>
  </si>
  <si>
    <t>Customer Telephone</t>
  </si>
  <si>
    <t>Customer Mobile</t>
  </si>
  <si>
    <t>UFH Covering type</t>
  </si>
  <si>
    <t>Material</t>
  </si>
  <si>
    <t>U-value</t>
  </si>
  <si>
    <t>Other (please state)</t>
  </si>
  <si>
    <t>Geographics</t>
  </si>
  <si>
    <t>Project info</t>
  </si>
  <si>
    <t>General Information</t>
  </si>
  <si>
    <t>UFH Floor Covering (If Apliccable)</t>
  </si>
  <si>
    <t>Insert notes here:</t>
  </si>
  <si>
    <t>System Selection</t>
  </si>
  <si>
    <t>ambient temp the boiler begins heating?</t>
  </si>
  <si>
    <r>
      <rPr>
        <sz val="10"/>
        <color theme="1"/>
        <rFont val="Calibri"/>
        <family val="2"/>
      </rPr>
      <t>°</t>
    </r>
    <r>
      <rPr>
        <sz val="10"/>
        <color theme="1"/>
        <rFont val="Arial"/>
        <family val="2"/>
      </rPr>
      <t>C</t>
    </r>
  </si>
  <si>
    <t>Standard boiler</t>
  </si>
  <si>
    <t>Condensing boiler</t>
  </si>
  <si>
    <t>Combi Boiler</t>
  </si>
  <si>
    <t>Back boiler</t>
  </si>
  <si>
    <t>High or Unknown Thermal Capacity boiler</t>
  </si>
  <si>
    <t>Wall or flue mounted boiler (balanced on open flue) - Pre 1998</t>
  </si>
  <si>
    <t>Combined Primary Source Units (CPSU)</t>
  </si>
  <si>
    <t>Open fire with back boiler</t>
  </si>
  <si>
    <t>Closed room heater (stove) with back boiler</t>
  </si>
  <si>
    <t>Range cooker boiler (integral oven and boiler)</t>
  </si>
  <si>
    <t>Community Heating</t>
  </si>
  <si>
    <t>Storage heaters</t>
  </si>
  <si>
    <t>Warm air system</t>
  </si>
  <si>
    <t>Heat pump</t>
  </si>
  <si>
    <t>Fire or wall heater</t>
  </si>
  <si>
    <t>Electric panel convector or Radiant heaters</t>
  </si>
  <si>
    <t>Electric underfloor /ceiling heating</t>
  </si>
  <si>
    <t>Other</t>
  </si>
  <si>
    <t>If Hybrid (Which other heating appliance is present?</t>
  </si>
  <si>
    <t>Not a hybrid</t>
  </si>
  <si>
    <t>Room 25</t>
  </si>
  <si>
    <t>Room 26</t>
  </si>
  <si>
    <t>Room 27</t>
  </si>
  <si>
    <t>Room 28</t>
  </si>
  <si>
    <t>Room 29</t>
  </si>
  <si>
    <t>Room 30</t>
  </si>
  <si>
    <t>Room 31</t>
  </si>
  <si>
    <t>Room 32</t>
  </si>
  <si>
    <t>Room 33</t>
  </si>
  <si>
    <t>Room 34</t>
  </si>
  <si>
    <t>Room 35</t>
  </si>
  <si>
    <t>Room 36</t>
  </si>
  <si>
    <t>Room 37</t>
  </si>
  <si>
    <t>Room 38</t>
  </si>
  <si>
    <t>Select your heat pump</t>
  </si>
  <si>
    <t>per year</t>
  </si>
  <si>
    <t>The table below answers all three of these questions</t>
  </si>
  <si>
    <r>
      <t>55</t>
    </r>
    <r>
      <rPr>
        <sz val="11"/>
        <color indexed="8"/>
        <rFont val="Calibri"/>
        <family val="2"/>
      </rPr>
      <t>°</t>
    </r>
    <r>
      <rPr>
        <sz val="11"/>
        <color indexed="8"/>
        <rFont val="Arial"/>
        <family val="2"/>
      </rPr>
      <t>C</t>
    </r>
  </si>
  <si>
    <t>i. Explain how the controls have been set to ensure that the system operating temperature is no higher than TFSH at the design external temperature</t>
  </si>
  <si>
    <r>
      <t>Tfsh set to 52</t>
    </r>
    <r>
      <rPr>
        <sz val="11"/>
        <color indexed="8"/>
        <rFont val="Calibri"/>
        <family val="2"/>
      </rPr>
      <t>°</t>
    </r>
    <r>
      <rPr>
        <sz val="11"/>
        <color indexed="8"/>
        <rFont val="Arial"/>
        <family val="2"/>
      </rPr>
      <t>C at -2</t>
    </r>
    <r>
      <rPr>
        <sz val="11"/>
        <color indexed="8"/>
        <rFont val="Calibri"/>
        <family val="2"/>
      </rPr>
      <t>°</t>
    </r>
    <r>
      <rPr>
        <sz val="11"/>
        <color indexed="8"/>
        <rFont val="Arial"/>
        <family val="2"/>
      </rPr>
      <t>C ambient 37C at +15C</t>
    </r>
  </si>
  <si>
    <t>If the coil is 2.5m^2 put yes , if not DON’T use it</t>
  </si>
  <si>
    <t>if ts a hybrid you have to allow for a meter, if its 100% heat pump you don’t. See check list to right.</t>
  </si>
  <si>
    <t>Default-portable electric heaters)</t>
  </si>
  <si>
    <t>to use this excel first enter the property details into the data entry sheet, only fill in  the orange cells</t>
  </si>
  <si>
    <t>to comply with MCS regulations you must use design conditions stated in the heat load sheet</t>
  </si>
  <si>
    <t>and it will recommend a heat output so you can size the rad yourself in line with the mcs heat emitter guide.</t>
  </si>
  <si>
    <t xml:space="preserve">To choose your heat pump go to the Equipment tab and look at the graph. </t>
  </si>
  <si>
    <t xml:space="preserve">The house heat load is shown on the graph using the black line, you must choose a unit in which the output line is above the black line at all times </t>
  </si>
  <si>
    <t>If you know your heat load already you can input the figure manually and you can also provide a SAP figure (Box 39) and the calculator with give you the heat load requirement in kW</t>
  </si>
  <si>
    <t>use the drop downs to select a unit and wheter or not you want a hybrid system, the system must provide at least 100% of the heating requirement (Plus the hot water requirement) to qualify for MCS.</t>
  </si>
  <si>
    <t>The run costs will be generated in the "MCS calc  and run costs" sheet</t>
  </si>
  <si>
    <t>enter the current heating system type and the new one you want to use, it will work out the run costs, savings and the co2 and the saving for you</t>
  </si>
  <si>
    <t>The "Performance estimate" sheet will fill in automatically as you go, it lists the heating system you have chosen, run costs</t>
  </si>
  <si>
    <t>I am authorised to sign this certificate on behalf of the MCS installation company named above and I confirm that:
 (i) the heating installation at the premises whose address is shown above has been designed and installed in accordance with MIS 3005;
 (ii) the design included a heat loss calculation for every room of the building that is heated by the installation;
 (iii) the installation conforms to the design;
 (iv) controls to ensure TFSH have been installed and set correctly.</t>
  </si>
  <si>
    <t>Tel:</t>
  </si>
  <si>
    <t>E-mail:</t>
  </si>
  <si>
    <t>Web Address</t>
  </si>
  <si>
    <t>UFH Pipe Centre</t>
  </si>
  <si>
    <t>150mm</t>
  </si>
  <si>
    <t>From Data Entry</t>
  </si>
  <si>
    <t>if your house is built of more than one material its possible to enter this data for each room in heat loss tab</t>
  </si>
  <si>
    <t>v46 Data entry sheet, tidies up heat loss calculator tab.</t>
  </si>
  <si>
    <t>v46 Added UFH covers option for room by rooms</t>
  </si>
  <si>
    <t>v46 Revamped performance estimate to show UFH covers etc</t>
  </si>
  <si>
    <t>v46 Automated almost all of MCS compliance sheet</t>
  </si>
  <si>
    <t xml:space="preserve">v46 Added Clausius units to equipment tab and linked maths for the rest of the excel </t>
  </si>
  <si>
    <t xml:space="preserve">400LTR </t>
  </si>
  <si>
    <t xml:space="preserve">300LTR </t>
  </si>
  <si>
    <t xml:space="preserve">250LTR </t>
  </si>
  <si>
    <t xml:space="preserve">170LTR   </t>
  </si>
  <si>
    <t xml:space="preserve">200LTR  </t>
  </si>
  <si>
    <t>500LTR</t>
  </si>
  <si>
    <t>v46.1 Changed cylinder selection to suite Telford Spec for cylinder sizes and coil sizes</t>
  </si>
  <si>
    <t>v46.2 remeved "classic and elite" options for clausius units at Graham's request</t>
  </si>
  <si>
    <t>v46.2 Added 7-50kW Clausius Strong unit to equipment and sebsequent math</t>
  </si>
  <si>
    <t>Tiles</t>
  </si>
  <si>
    <t>Radiators</t>
  </si>
  <si>
    <t>x</t>
  </si>
  <si>
    <t>Spring 2017 tariff</t>
  </si>
  <si>
    <t>Cap</t>
  </si>
  <si>
    <t>This is assuming the system is installed after 16/12/16 on the new "Spring 2017" tariff</t>
  </si>
  <si>
    <t>v46.3 Added 12kW heat pump</t>
  </si>
  <si>
    <t>v46.3 Added figures for new RHI (Spring 2017)</t>
  </si>
  <si>
    <t>v46.4 House heat load line on equipment graph now tracks the MCS ambient temperature</t>
  </si>
  <si>
    <t>v46.4 Sorted out rad sizing math</t>
  </si>
  <si>
    <t>Freedom heat pumps heat loss tool v46.4</t>
  </si>
  <si>
    <t>Natural Gas new boiler</t>
  </si>
  <si>
    <t>v46.5 Slight changes to Spring 2017 RHI maths</t>
  </si>
  <si>
    <t>v46.5 Revamped Hybrid run cost math</t>
  </si>
  <si>
    <t>Heat Loss From EPC</t>
  </si>
  <si>
    <t>Annual Space heating Demand</t>
  </si>
  <si>
    <t>Annual Hot Water Demand</t>
  </si>
  <si>
    <t>kWh</t>
  </si>
  <si>
    <t>v46.6 Added fuction for working out heat loss from EPC figures</t>
  </si>
  <si>
    <t>45 Degrees C Flow</t>
  </si>
  <si>
    <t>50 Degrees C Flow</t>
  </si>
  <si>
    <t>Ambient</t>
  </si>
  <si>
    <t>Output of SELECTED unit at 35 - 50 Degrees C</t>
  </si>
  <si>
    <t>40 Degrees C Flow</t>
  </si>
  <si>
    <t>35 Degrees C Flow</t>
  </si>
  <si>
    <t>MCS HP0032/50</t>
  </si>
  <si>
    <t>MCS HP0032/51</t>
  </si>
  <si>
    <t>MCS HP0032/55</t>
  </si>
  <si>
    <t>MCS HP0032/71</t>
  </si>
  <si>
    <t>MCS HP0032/73</t>
  </si>
  <si>
    <t>MCS HP0032/57</t>
  </si>
  <si>
    <t>MCS HP0032/59</t>
  </si>
  <si>
    <t>MCS HP0032/61</t>
  </si>
  <si>
    <t>MCS HP0032/65</t>
  </si>
  <si>
    <t>MCS HP0032/66</t>
  </si>
  <si>
    <t>MCS HP0032/67</t>
  </si>
  <si>
    <t>MCS HP0032/74/75</t>
  </si>
  <si>
    <t>MCS HP0032/78/79</t>
  </si>
  <si>
    <t>MCS HP0032/80/82</t>
  </si>
  <si>
    <t>MCS HP0032/88/90</t>
  </si>
  <si>
    <t>v50 - Updated for MIS3005v5</t>
  </si>
  <si>
    <t xml:space="preserve">v50 - Added full hitachi range </t>
  </si>
  <si>
    <t>v50 - Changed formatting on unit selection graph to show only the selected unit and auto sclaes axis to fit</t>
  </si>
  <si>
    <t xml:space="preserve">% of heat LOAD HP can provide </t>
  </si>
  <si>
    <t>MIS3005v5</t>
  </si>
  <si>
    <t xml:space="preserve">Current Tarrifs until October 2017 </t>
  </si>
  <si>
    <t>This tool has been written to conform to MIS3005 v4.3 and v5.0</t>
  </si>
  <si>
    <t>50C is the standard setting but up to 60 can be selected for HT units</t>
  </si>
  <si>
    <t>Hitachi Split 2.0</t>
  </si>
  <si>
    <t>Hitachi Combi 2.0</t>
  </si>
  <si>
    <t>Hitachi Split 3.0</t>
  </si>
  <si>
    <t>Hitachi Combi 3.0</t>
  </si>
  <si>
    <t>Hitachi Mono 3.0</t>
  </si>
  <si>
    <t>Hitachi Split 4.0</t>
  </si>
  <si>
    <t>Hitachi Combi 4.0</t>
  </si>
  <si>
    <t>Hitachi Mono 4.0</t>
  </si>
  <si>
    <t>Hitachi S80 HT 4.0</t>
  </si>
  <si>
    <t>Hitachi Split 6.0</t>
  </si>
  <si>
    <t>Hitachi Combi 6.0</t>
  </si>
  <si>
    <t>Hitachi Mono 6.0</t>
  </si>
  <si>
    <t>Hitachi S80 HT 6.0</t>
  </si>
  <si>
    <t>Hitachi Split 8.0</t>
  </si>
  <si>
    <t>Hitachi Split 10.0</t>
  </si>
  <si>
    <t>Hitachi 2.0</t>
  </si>
  <si>
    <t>Hitachi 3.0</t>
  </si>
  <si>
    <t>Hitachi 4.0</t>
  </si>
  <si>
    <t>Hitachi 6.0</t>
  </si>
  <si>
    <t>Hitachi 8.0</t>
  </si>
  <si>
    <t>Hitachi 10.0</t>
  </si>
  <si>
    <t>Estimation of RHI until october 2017 (an EPC will determine your actual RHI payments)</t>
  </si>
  <si>
    <t>Estimated run cost</t>
  </si>
  <si>
    <t>not a hybrid</t>
  </si>
  <si>
    <t>55 degrees C Flow</t>
  </si>
  <si>
    <t>60 Degrees C Flow</t>
  </si>
  <si>
    <t>65 Degrees C Flow</t>
  </si>
  <si>
    <t>70 Degrees C Flow</t>
  </si>
  <si>
    <t>75 Degrees C Flow</t>
  </si>
  <si>
    <t>80 Degrees C Flow</t>
  </si>
  <si>
    <t>v50.1 - Updated Fuel cost prices</t>
  </si>
  <si>
    <t>Assumes that natural gas is 4.3p/kW/hr, oil is 60p/Litre And LPG is 38p/Litre.</t>
  </si>
  <si>
    <t>DP+type21</t>
  </si>
  <si>
    <t>Heating and Hot Water</t>
  </si>
  <si>
    <t xml:space="preserve">Tarrifs from 20th September 2017 onwards </t>
  </si>
  <si>
    <t>RHI for units pre 20-9-17</t>
  </si>
  <si>
    <t>Version 50.2</t>
  </si>
  <si>
    <t xml:space="preserve">new rhi rules added </t>
  </si>
  <si>
    <t>v 50.2</t>
  </si>
  <si>
    <t>september 20 2017</t>
  </si>
  <si>
    <t>Egensys Ltd</t>
  </si>
  <si>
    <t>NIC5717</t>
  </si>
  <si>
    <t>Enterprise Business Centre, Carlton Road, Worksop, S81 7QF</t>
  </si>
  <si>
    <t>26 Church Lane</t>
  </si>
  <si>
    <t>H17.176</t>
  </si>
  <si>
    <t>WC</t>
  </si>
  <si>
    <t>DC_type22</t>
  </si>
  <si>
    <t>Lounge</t>
  </si>
  <si>
    <t>Dining Room</t>
  </si>
  <si>
    <t>Landing</t>
  </si>
  <si>
    <t>Bed 3</t>
  </si>
  <si>
    <t>Bed 2</t>
  </si>
  <si>
    <t>Bed 1</t>
  </si>
  <si>
    <t>En Suite</t>
  </si>
</sst>
</file>

<file path=xl/styles.xml><?xml version="1.0" encoding="utf-8"?>
<styleSheet xmlns="http://schemas.openxmlformats.org/spreadsheetml/2006/main">
  <numFmts count="10">
    <numFmt numFmtId="41" formatCode="_-* #,##0_-;\-* #,##0_-;_-* &quot;-&quot;_-;_-@_-"/>
    <numFmt numFmtId="44" formatCode="_-&quot;£&quot;* #,##0.00_-;\-&quot;£&quot;* #,##0.00_-;_-&quot;£&quot;* &quot;-&quot;??_-;_-@_-"/>
    <numFmt numFmtId="43" formatCode="_-* #,##0.00_-;\-* #,##0.00_-;_-* &quot;-&quot;??_-;_-@_-"/>
    <numFmt numFmtId="164" formatCode="0.0"/>
    <numFmt numFmtId="165" formatCode="0.0%"/>
    <numFmt numFmtId="166" formatCode="_-&quot;£&quot;* #,##0.000_-;\-&quot;£&quot;* #,##0.000_-;_-&quot;£&quot;* &quot;-&quot;??_-;_-@_-"/>
    <numFmt numFmtId="167" formatCode="0.000"/>
    <numFmt numFmtId="168" formatCode="#,##0_ ;\-#,##0\ "/>
    <numFmt numFmtId="169" formatCode="_-\£* #,##0.00_-;&quot;-£&quot;* #,##0.00_-;_-\£* \-??_-;_-@_-"/>
    <numFmt numFmtId="170" formatCode="_-&quot;£&quot;* #,##0.000_-;\-&quot;£&quot;* #,##0.000_-;_-&quot;£&quot;* &quot;-&quot;???_-;_-@_-"/>
  </numFmts>
  <fonts count="78">
    <font>
      <sz val="11"/>
      <color theme="1"/>
      <name val="Calibri"/>
      <family val="2"/>
      <scheme val="minor"/>
    </font>
    <font>
      <sz val="11"/>
      <color theme="0"/>
      <name val="Calibri"/>
      <family val="2"/>
      <scheme val="minor"/>
    </font>
    <font>
      <sz val="10"/>
      <color theme="1"/>
      <name val="Arial"/>
      <family val="2"/>
    </font>
    <font>
      <sz val="10"/>
      <color theme="0"/>
      <name val="Arial"/>
      <family val="2"/>
    </font>
    <font>
      <b/>
      <sz val="10"/>
      <color theme="0"/>
      <name val="Arial"/>
      <family val="2"/>
    </font>
    <font>
      <b/>
      <sz val="10"/>
      <color theme="1"/>
      <name val="Arial"/>
      <family val="2"/>
    </font>
    <font>
      <sz val="18"/>
      <color theme="1"/>
      <name val="Arial"/>
      <family val="2"/>
    </font>
    <font>
      <b/>
      <sz val="10"/>
      <name val="Arial"/>
      <family val="2"/>
    </font>
    <font>
      <sz val="10"/>
      <name val="Tahoma"/>
      <family val="2"/>
    </font>
    <font>
      <b/>
      <sz val="11"/>
      <color theme="1"/>
      <name val="Calibri"/>
      <family val="2"/>
      <scheme val="minor"/>
    </font>
    <font>
      <sz val="10"/>
      <name val="Verdana"/>
      <family val="2"/>
    </font>
    <font>
      <sz val="11"/>
      <name val="Arial"/>
      <family val="2"/>
    </font>
    <font>
      <sz val="10"/>
      <color rgb="FF000000"/>
      <name val="Arial"/>
      <family val="2"/>
    </font>
    <font>
      <b/>
      <sz val="12"/>
      <color theme="1"/>
      <name val="Arial"/>
      <family val="2"/>
    </font>
    <font>
      <b/>
      <sz val="16"/>
      <color theme="1"/>
      <name val="Calibri"/>
      <family val="2"/>
      <scheme val="minor"/>
    </font>
    <font>
      <sz val="11"/>
      <color theme="1"/>
      <name val="Arial"/>
      <family val="2"/>
    </font>
    <font>
      <sz val="11"/>
      <color rgb="FF9C6500"/>
      <name val="Calibri"/>
      <family val="2"/>
      <scheme val="minor"/>
    </font>
    <font>
      <sz val="10"/>
      <name val="Arial"/>
      <family val="2"/>
    </font>
    <font>
      <sz val="12"/>
      <name val="Arial"/>
      <family val="2"/>
    </font>
    <font>
      <sz val="11"/>
      <color theme="1"/>
      <name val="Calibri"/>
      <family val="2"/>
      <scheme val="minor"/>
    </font>
    <font>
      <b/>
      <sz val="11"/>
      <color theme="1"/>
      <name val="Arial"/>
      <family val="2"/>
    </font>
    <font>
      <b/>
      <sz val="10"/>
      <color rgb="FFFF0000"/>
      <name val="Arial"/>
      <family val="2"/>
    </font>
    <font>
      <b/>
      <sz val="12"/>
      <color rgb="FFFF0000"/>
      <name val="Arial"/>
      <family val="2"/>
    </font>
    <font>
      <b/>
      <sz val="11"/>
      <color theme="0"/>
      <name val="Arial"/>
      <family val="2"/>
    </font>
    <font>
      <sz val="10"/>
      <color rgb="FFFF0000"/>
      <name val="Arial"/>
      <family val="2"/>
    </font>
    <font>
      <u/>
      <sz val="11"/>
      <color theme="10"/>
      <name val="Calibri"/>
      <family val="2"/>
      <scheme val="minor"/>
    </font>
    <font>
      <sz val="11"/>
      <color rgb="FFFF0000"/>
      <name val="Calibri"/>
      <family val="2"/>
      <scheme val="minor"/>
    </font>
    <font>
      <sz val="10"/>
      <color theme="0" tint="-0.14999847407452621"/>
      <name val="Arial"/>
      <family val="2"/>
    </font>
    <font>
      <sz val="9"/>
      <color indexed="81"/>
      <name val="Tahoma"/>
      <family val="2"/>
    </font>
    <font>
      <u/>
      <sz val="10"/>
      <color theme="10"/>
      <name val="Arial"/>
      <family val="2"/>
    </font>
    <font>
      <b/>
      <sz val="9"/>
      <color indexed="81"/>
      <name val="Tahoma"/>
      <family val="2"/>
    </font>
    <font>
      <sz val="11"/>
      <color rgb="FF9C6500"/>
      <name val="Arial"/>
      <family val="2"/>
    </font>
    <font>
      <u/>
      <sz val="10"/>
      <color rgb="FF4D4D4D"/>
      <name val="Arial"/>
      <family val="2"/>
    </font>
    <font>
      <sz val="10"/>
      <color rgb="FF4D4D4D"/>
      <name val="Arial"/>
      <family val="2"/>
    </font>
    <font>
      <b/>
      <sz val="18"/>
      <color indexed="8"/>
      <name val="Arial"/>
      <family val="2"/>
    </font>
    <font>
      <b/>
      <sz val="14"/>
      <color indexed="8"/>
      <name val="Arial"/>
      <family val="2"/>
    </font>
    <font>
      <b/>
      <sz val="12"/>
      <name val="Arial"/>
      <family val="2"/>
    </font>
    <font>
      <sz val="10"/>
      <color theme="1"/>
      <name val="Verdana"/>
      <family val="2"/>
    </font>
    <font>
      <b/>
      <sz val="10"/>
      <color theme="1"/>
      <name val="Verdana"/>
      <family val="2"/>
    </font>
    <font>
      <b/>
      <u/>
      <sz val="10"/>
      <color theme="1"/>
      <name val="Verdana"/>
      <family val="2"/>
    </font>
    <font>
      <sz val="10"/>
      <color theme="0"/>
      <name val="Verdana"/>
      <family val="2"/>
    </font>
    <font>
      <vertAlign val="superscript"/>
      <sz val="10"/>
      <color theme="1"/>
      <name val="Verdana"/>
      <family val="2"/>
    </font>
    <font>
      <u/>
      <sz val="10"/>
      <color theme="1"/>
      <name val="Verdana"/>
      <family val="2"/>
    </font>
    <font>
      <b/>
      <sz val="28"/>
      <color theme="1"/>
      <name val="Calibri"/>
      <family val="2"/>
      <scheme val="minor"/>
    </font>
    <font>
      <sz val="10"/>
      <color theme="1"/>
      <name val="Calibri"/>
      <family val="2"/>
      <scheme val="minor"/>
    </font>
    <font>
      <sz val="11"/>
      <color rgb="FF9C0006"/>
      <name val="Calibri"/>
      <family val="2"/>
      <scheme val="minor"/>
    </font>
    <font>
      <b/>
      <sz val="10"/>
      <color rgb="FFFF0000"/>
      <name val="Verdana"/>
      <family val="2"/>
    </font>
    <font>
      <sz val="16"/>
      <color theme="1"/>
      <name val="Arial"/>
      <family val="2"/>
    </font>
    <font>
      <sz val="11"/>
      <color theme="0"/>
      <name val="Arial"/>
      <family val="2"/>
    </font>
    <font>
      <sz val="10"/>
      <color indexed="8"/>
      <name val="Arial"/>
      <family val="2"/>
    </font>
    <font>
      <b/>
      <sz val="10"/>
      <color indexed="8"/>
      <name val="Arial"/>
      <family val="2"/>
    </font>
    <font>
      <b/>
      <sz val="10"/>
      <color theme="1"/>
      <name val="Calibri"/>
      <family val="2"/>
      <scheme val="minor"/>
    </font>
    <font>
      <b/>
      <sz val="10"/>
      <color rgb="FF000000"/>
      <name val="Calibri"/>
      <family val="2"/>
      <scheme val="minor"/>
    </font>
    <font>
      <b/>
      <u/>
      <sz val="10"/>
      <color theme="1"/>
      <name val="Calibri"/>
      <family val="2"/>
      <scheme val="minor"/>
    </font>
    <font>
      <sz val="14"/>
      <color theme="1"/>
      <name val="Calibri"/>
      <family val="2"/>
      <scheme val="minor"/>
    </font>
    <font>
      <b/>
      <u/>
      <sz val="10"/>
      <color rgb="FF000000"/>
      <name val="Calibri"/>
      <family val="2"/>
      <scheme val="minor"/>
    </font>
    <font>
      <sz val="11"/>
      <color rgb="FFFF0000"/>
      <name val="Arial"/>
      <family val="2"/>
    </font>
    <font>
      <b/>
      <sz val="11"/>
      <color rgb="FFFF0000"/>
      <name val="Calibri"/>
      <family val="2"/>
      <scheme val="minor"/>
    </font>
    <font>
      <sz val="11"/>
      <color rgb="FF000000"/>
      <name val="Arial"/>
      <family val="2"/>
    </font>
    <font>
      <i/>
      <sz val="11"/>
      <color rgb="FF000000"/>
      <name val="Arial"/>
      <family val="2"/>
    </font>
    <font>
      <i/>
      <vertAlign val="subscript"/>
      <sz val="11"/>
      <color rgb="FF000000"/>
      <name val="Arial"/>
      <family val="2"/>
    </font>
    <font>
      <i/>
      <u/>
      <sz val="11"/>
      <color rgb="FF000000"/>
      <name val="Arial"/>
      <family val="2"/>
    </font>
    <font>
      <sz val="18"/>
      <name val="Arial"/>
      <family val="2"/>
    </font>
    <font>
      <b/>
      <sz val="11"/>
      <color indexed="18"/>
      <name val="Arial"/>
      <family val="2"/>
    </font>
    <font>
      <sz val="11"/>
      <color indexed="8"/>
      <name val="Arial"/>
      <family val="2"/>
    </font>
    <font>
      <vertAlign val="superscript"/>
      <sz val="11"/>
      <color indexed="8"/>
      <name val="Arial"/>
      <family val="2"/>
    </font>
    <font>
      <sz val="11"/>
      <color theme="0" tint="-0.14999847407452621"/>
      <name val="Calibri"/>
      <family val="2"/>
      <scheme val="minor"/>
    </font>
    <font>
      <sz val="11"/>
      <name val="Calibri"/>
      <family val="2"/>
      <scheme val="minor"/>
    </font>
    <font>
      <sz val="22"/>
      <color theme="1"/>
      <name val="Arial"/>
      <family val="2"/>
    </font>
    <font>
      <sz val="10"/>
      <color rgb="FFFFC000"/>
      <name val="Arial"/>
      <family val="2"/>
    </font>
    <font>
      <b/>
      <sz val="14"/>
      <color theme="1"/>
      <name val="Arial"/>
      <family val="2"/>
    </font>
    <font>
      <b/>
      <sz val="11"/>
      <color rgb="FF0A0101"/>
      <name val="Arial"/>
      <family val="2"/>
    </font>
    <font>
      <b/>
      <sz val="11"/>
      <name val="Arial"/>
      <family val="2"/>
    </font>
    <font>
      <sz val="18"/>
      <color rgb="FFFF0000"/>
      <name val="Calibri"/>
      <family val="2"/>
      <scheme val="minor"/>
    </font>
    <font>
      <sz val="10"/>
      <color theme="1"/>
      <name val="Calibri"/>
      <family val="2"/>
    </font>
    <font>
      <sz val="11"/>
      <color indexed="8"/>
      <name val="Calibri"/>
      <family val="2"/>
    </font>
    <font>
      <b/>
      <sz val="10"/>
      <color indexed="18"/>
      <name val="Arial"/>
      <family val="2"/>
    </font>
    <font>
      <sz val="10"/>
      <color rgb="FFFFFF00"/>
      <name val="Arial"/>
      <family val="2"/>
    </font>
  </fonts>
  <fills count="28">
    <fill>
      <patternFill patternType="none"/>
    </fill>
    <fill>
      <patternFill patternType="gray125"/>
    </fill>
    <fill>
      <patternFill patternType="solid">
        <fgColor theme="4"/>
      </patternFill>
    </fill>
    <fill>
      <patternFill patternType="solid">
        <fgColor theme="5"/>
      </patternFill>
    </fill>
    <fill>
      <patternFill patternType="solid">
        <fgColor theme="5" tint="0.39997558519241921"/>
        <bgColor indexed="65"/>
      </patternFill>
    </fill>
    <fill>
      <patternFill patternType="solid">
        <fgColor rgb="FF0070C0"/>
        <bgColor indexed="64"/>
      </patternFill>
    </fill>
    <fill>
      <patternFill patternType="solid">
        <fgColor theme="4" tint="0.39997558519241921"/>
        <bgColor indexed="64"/>
      </patternFill>
    </fill>
    <fill>
      <patternFill patternType="solid">
        <fgColor rgb="FFFFFF00"/>
        <bgColor indexed="64"/>
      </patternFill>
    </fill>
    <fill>
      <patternFill patternType="solid">
        <fgColor theme="0"/>
        <bgColor indexed="64"/>
      </patternFill>
    </fill>
    <fill>
      <patternFill patternType="solid">
        <fgColor rgb="FFFFEB9C"/>
      </patternFill>
    </fill>
    <fill>
      <patternFill patternType="solid">
        <fgColor rgb="FFFFC0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6" tint="0.39997558519241921"/>
        <bgColor indexed="65"/>
      </patternFill>
    </fill>
    <fill>
      <patternFill patternType="solid">
        <fgColor rgb="FF94BBDE"/>
        <bgColor indexed="64"/>
      </patternFill>
    </fill>
    <fill>
      <patternFill patternType="solid">
        <fgColor indexed="44"/>
        <bgColor indexed="31"/>
      </patternFill>
    </fill>
    <fill>
      <patternFill patternType="solid">
        <fgColor indexed="9"/>
        <bgColor indexed="26"/>
      </patternFill>
    </fill>
    <fill>
      <patternFill patternType="solid">
        <fgColor indexed="22"/>
        <bgColor indexed="31"/>
      </patternFill>
    </fill>
    <fill>
      <patternFill patternType="solid">
        <fgColor rgb="FF94BBDE"/>
        <bgColor indexed="26"/>
      </patternFill>
    </fill>
    <fill>
      <patternFill patternType="solid">
        <fgColor rgb="FF94BBDE"/>
        <bgColor indexed="31"/>
      </patternFill>
    </fill>
    <fill>
      <patternFill patternType="solid">
        <fgColor rgb="FFFFFFFF"/>
        <bgColor indexed="64"/>
      </patternFill>
    </fill>
    <fill>
      <patternFill patternType="solid">
        <fgColor rgb="FFF2F2F2"/>
        <bgColor indexed="64"/>
      </patternFill>
    </fill>
    <fill>
      <patternFill patternType="solid">
        <fgColor rgb="FFFFC7CE"/>
      </patternFill>
    </fill>
    <fill>
      <patternFill patternType="solid">
        <fgColor theme="5" tint="0.59999389629810485"/>
        <bgColor indexed="65"/>
      </patternFill>
    </fill>
    <fill>
      <patternFill patternType="solid">
        <fgColor rgb="FFFFC000"/>
        <bgColor indexed="26"/>
      </patternFill>
    </fill>
    <fill>
      <patternFill patternType="solid">
        <fgColor theme="8" tint="0.59999389629810485"/>
        <bgColor indexed="64"/>
      </patternFill>
    </fill>
    <fill>
      <patternFill patternType="solid">
        <fgColor rgb="FF92D050"/>
        <bgColor indexed="26"/>
      </patternFill>
    </fill>
  </fills>
  <borders count="14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thin">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top style="thin">
        <color auto="1"/>
      </top>
      <bottom style="thin">
        <color auto="1"/>
      </bottom>
      <diagonal/>
    </border>
    <border>
      <left/>
      <right/>
      <top/>
      <bottom style="thin">
        <color auto="1"/>
      </bottom>
      <diagonal/>
    </border>
    <border>
      <left style="thin">
        <color auto="1"/>
      </left>
      <right style="medium">
        <color auto="1"/>
      </right>
      <top style="medium">
        <color auto="1"/>
      </top>
      <bottom style="thin">
        <color auto="1"/>
      </bottom>
      <diagonal/>
    </border>
    <border>
      <left/>
      <right style="thin">
        <color auto="1"/>
      </right>
      <top/>
      <bottom style="thin">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medium">
        <color auto="1"/>
      </left>
      <right style="medium">
        <color indexed="9"/>
      </right>
      <top style="medium">
        <color auto="1"/>
      </top>
      <bottom style="medium">
        <color indexed="9"/>
      </bottom>
      <diagonal/>
    </border>
    <border>
      <left style="medium">
        <color auto="1"/>
      </left>
      <right style="thin">
        <color auto="1"/>
      </right>
      <top style="thin">
        <color auto="1"/>
      </top>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diagonal/>
    </border>
    <border>
      <left style="thin">
        <color auto="1"/>
      </left>
      <right/>
      <top/>
      <bottom style="thin">
        <color auto="1"/>
      </bottom>
      <diagonal/>
    </border>
    <border>
      <left style="medium">
        <color auto="1"/>
      </left>
      <right style="thin">
        <color auto="1"/>
      </right>
      <top/>
      <bottom style="thin">
        <color auto="1"/>
      </bottom>
      <diagonal/>
    </border>
    <border>
      <left style="medium">
        <color auto="1"/>
      </left>
      <right/>
      <top style="thin">
        <color auto="1"/>
      </top>
      <bottom/>
      <diagonal/>
    </border>
    <border>
      <left style="medium">
        <color indexed="62"/>
      </left>
      <right/>
      <top style="medium">
        <color indexed="62"/>
      </top>
      <bottom style="thin">
        <color indexed="62"/>
      </bottom>
      <diagonal/>
    </border>
    <border>
      <left/>
      <right/>
      <top style="medium">
        <color indexed="62"/>
      </top>
      <bottom style="thin">
        <color indexed="62"/>
      </bottom>
      <diagonal/>
    </border>
    <border>
      <left style="medium">
        <color indexed="62"/>
      </left>
      <right/>
      <top style="hair">
        <color indexed="62"/>
      </top>
      <bottom style="hair">
        <color indexed="62"/>
      </bottom>
      <diagonal/>
    </border>
    <border>
      <left style="medium">
        <color indexed="62"/>
      </left>
      <right style="medium">
        <color indexed="62"/>
      </right>
      <top/>
      <bottom style="thin">
        <color indexed="62"/>
      </bottom>
      <diagonal/>
    </border>
    <border>
      <left style="medium">
        <color indexed="62"/>
      </left>
      <right/>
      <top/>
      <bottom/>
      <diagonal/>
    </border>
    <border>
      <left style="medium">
        <color indexed="62"/>
      </left>
      <right style="medium">
        <color indexed="62"/>
      </right>
      <top/>
      <bottom/>
      <diagonal/>
    </border>
    <border>
      <left style="medium">
        <color indexed="62"/>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indexed="62"/>
      </left>
      <right/>
      <top style="medium">
        <color indexed="62"/>
      </top>
      <bottom style="hair">
        <color indexed="62"/>
      </bottom>
      <diagonal/>
    </border>
    <border>
      <left/>
      <right/>
      <top style="medium">
        <color indexed="62"/>
      </top>
      <bottom style="hair">
        <color indexed="62"/>
      </bottom>
      <diagonal/>
    </border>
    <border>
      <left style="medium">
        <color indexed="62"/>
      </left>
      <right/>
      <top style="hair">
        <color indexed="62"/>
      </top>
      <bottom style="medium">
        <color indexed="62"/>
      </bottom>
      <diagonal/>
    </border>
    <border>
      <left/>
      <right/>
      <top style="hair">
        <color indexed="62"/>
      </top>
      <bottom style="medium">
        <color indexed="62"/>
      </bottom>
      <diagonal/>
    </border>
    <border>
      <left style="medium">
        <color indexed="62"/>
      </left>
      <right style="medium">
        <color indexed="62"/>
      </right>
      <top style="medium">
        <color indexed="62"/>
      </top>
      <bottom/>
      <diagonal/>
    </border>
    <border>
      <left style="medium">
        <color indexed="62"/>
      </left>
      <right style="medium">
        <color indexed="62"/>
      </right>
      <top style="hair">
        <color indexed="62"/>
      </top>
      <bottom/>
      <diagonal/>
    </border>
    <border>
      <left style="medium">
        <color indexed="62"/>
      </left>
      <right style="medium">
        <color indexed="62"/>
      </right>
      <top/>
      <bottom style="hair">
        <color indexed="62"/>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bottom style="thin">
        <color auto="1"/>
      </bottom>
      <diagonal/>
    </border>
    <border>
      <left style="medium">
        <color auto="1"/>
      </left>
      <right/>
      <top/>
      <bottom style="thin">
        <color auto="1"/>
      </bottom>
      <diagonal/>
    </border>
    <border>
      <left style="thin">
        <color auto="1"/>
      </left>
      <right style="thin">
        <color auto="1"/>
      </right>
      <top style="medium">
        <color auto="1"/>
      </top>
      <bottom style="thin">
        <color auto="1"/>
      </bottom>
      <diagonal/>
    </border>
    <border>
      <left style="medium">
        <color auto="1"/>
      </left>
      <right style="medium">
        <color auto="1"/>
      </right>
      <top/>
      <bottom style="medium">
        <color auto="1"/>
      </bottom>
      <diagonal/>
    </border>
    <border>
      <left/>
      <right/>
      <top style="medium">
        <color auto="1"/>
      </top>
      <bottom style="medium">
        <color auto="1"/>
      </bottom>
      <diagonal/>
    </border>
    <border>
      <left style="medium">
        <color rgb="FF000000"/>
      </left>
      <right/>
      <top style="medium">
        <color rgb="FF000000"/>
      </top>
      <bottom style="medium">
        <color rgb="FF000000"/>
      </bottom>
      <diagonal/>
    </border>
    <border>
      <left style="medium">
        <color rgb="FF000000"/>
      </left>
      <right/>
      <top/>
      <bottom style="medium">
        <color rgb="FF000000"/>
      </bottom>
      <diagonal/>
    </border>
    <border>
      <left/>
      <right style="medium">
        <color rgb="FF000000"/>
      </right>
      <top style="medium">
        <color rgb="FF000000"/>
      </top>
      <bottom/>
      <diagonal/>
    </border>
    <border>
      <left/>
      <right/>
      <top style="medium">
        <color rgb="FF000000"/>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style="medium">
        <color auto="1"/>
      </left>
      <right style="medium">
        <color auto="1"/>
      </right>
      <top/>
      <bottom style="thin">
        <color auto="1"/>
      </bottom>
      <diagonal/>
    </border>
    <border>
      <left style="medium">
        <color auto="1"/>
      </left>
      <right/>
      <top/>
      <bottom/>
      <diagonal/>
    </border>
    <border>
      <left/>
      <right style="thin">
        <color auto="1"/>
      </right>
      <top style="hair">
        <color indexed="62"/>
      </top>
      <bottom style="hair">
        <color indexed="62"/>
      </bottom>
      <diagonal/>
    </border>
    <border>
      <left style="thin">
        <color auto="1"/>
      </left>
      <right style="thin">
        <color auto="1"/>
      </right>
      <top style="thin">
        <color indexed="62"/>
      </top>
      <bottom style="hair">
        <color indexed="62"/>
      </bottom>
      <diagonal/>
    </border>
    <border>
      <left style="thin">
        <color auto="1"/>
      </left>
      <right style="thin">
        <color auto="1"/>
      </right>
      <top style="hair">
        <color indexed="62"/>
      </top>
      <bottom style="hair">
        <color indexed="62"/>
      </bottom>
      <diagonal/>
    </border>
    <border>
      <left style="medium">
        <color indexed="62"/>
      </left>
      <right/>
      <top style="medium">
        <color indexed="62"/>
      </top>
      <bottom style="thin">
        <color auto="1"/>
      </bottom>
      <diagonal/>
    </border>
    <border>
      <left/>
      <right/>
      <top style="medium">
        <color indexed="62"/>
      </top>
      <bottom style="thin">
        <color auto="1"/>
      </bottom>
      <diagonal/>
    </border>
    <border>
      <left/>
      <right style="medium">
        <color indexed="62"/>
      </right>
      <top style="medium">
        <color indexed="62"/>
      </top>
      <bottom style="thin">
        <color auto="1"/>
      </bottom>
      <diagonal/>
    </border>
    <border>
      <left style="thin">
        <color indexed="62"/>
      </left>
      <right/>
      <top style="medium">
        <color indexed="62"/>
      </top>
      <bottom style="thin">
        <color indexed="62"/>
      </bottom>
      <diagonal/>
    </border>
    <border>
      <left/>
      <right style="thin">
        <color indexed="62"/>
      </right>
      <top style="medium">
        <color indexed="62"/>
      </top>
      <bottom style="thin">
        <color indexed="62"/>
      </bottom>
      <diagonal/>
    </border>
    <border>
      <left style="thin">
        <color indexed="62"/>
      </left>
      <right/>
      <top style="thin">
        <color indexed="62"/>
      </top>
      <bottom style="thin">
        <color indexed="62"/>
      </bottom>
      <diagonal/>
    </border>
    <border>
      <left/>
      <right style="thin">
        <color indexed="62"/>
      </right>
      <top style="thin">
        <color indexed="62"/>
      </top>
      <bottom style="thin">
        <color indexed="62"/>
      </bottom>
      <diagonal/>
    </border>
    <border>
      <left style="medium">
        <color indexed="62"/>
      </left>
      <right style="medium">
        <color indexed="62"/>
      </right>
      <top style="medium">
        <color indexed="62"/>
      </top>
      <bottom style="thin">
        <color auto="1"/>
      </bottom>
      <diagonal/>
    </border>
    <border>
      <left/>
      <right style="medium">
        <color indexed="62"/>
      </right>
      <top style="medium">
        <color indexed="62"/>
      </top>
      <bottom style="thin">
        <color auto="1"/>
      </bottom>
      <diagonal/>
    </border>
    <border>
      <left style="thin">
        <color auto="1"/>
      </left>
      <right/>
      <top style="hair">
        <color indexed="62"/>
      </top>
      <bottom style="hair">
        <color indexed="62"/>
      </bottom>
      <diagonal/>
    </border>
    <border>
      <left style="thin">
        <color auto="1"/>
      </left>
      <right/>
      <top/>
      <bottom style="hair">
        <color indexed="62"/>
      </bottom>
      <diagonal/>
    </border>
    <border>
      <left/>
      <right style="thin">
        <color auto="1"/>
      </right>
      <top/>
      <bottom style="hair">
        <color indexed="62"/>
      </bottom>
      <diagonal/>
    </border>
    <border>
      <left/>
      <right style="thin">
        <color indexed="62"/>
      </right>
      <top style="thin">
        <color auto="1"/>
      </top>
      <bottom style="thin">
        <color auto="1"/>
      </bottom>
      <diagonal/>
    </border>
    <border>
      <left/>
      <right style="thin">
        <color indexed="62"/>
      </right>
      <top style="medium">
        <color indexed="62"/>
      </top>
      <bottom style="thin">
        <color auto="1"/>
      </bottom>
      <diagonal/>
    </border>
    <border>
      <left/>
      <right style="medium">
        <color indexed="62"/>
      </right>
      <top style="medium">
        <color indexed="62"/>
      </top>
      <bottom style="thin">
        <color indexed="62"/>
      </bottom>
      <diagonal/>
    </border>
    <border>
      <left style="thin">
        <color auto="1"/>
      </left>
      <right/>
      <top style="thin">
        <color indexed="62"/>
      </top>
      <bottom style="thin">
        <color auto="1"/>
      </bottom>
      <diagonal/>
    </border>
    <border>
      <left/>
      <right style="thin">
        <color auto="1"/>
      </right>
      <top style="thin">
        <color indexed="62"/>
      </top>
      <bottom style="thin">
        <color auto="1"/>
      </bottom>
      <diagonal/>
    </border>
    <border>
      <left style="thin">
        <color auto="1"/>
      </left>
      <right/>
      <top style="hair">
        <color indexed="62"/>
      </top>
      <bottom/>
      <diagonal/>
    </border>
    <border>
      <left/>
      <right style="thin">
        <color auto="1"/>
      </right>
      <top style="hair">
        <color indexed="62"/>
      </top>
      <bottom/>
      <diagonal/>
    </border>
    <border>
      <left/>
      <right style="medium">
        <color indexed="62"/>
      </right>
      <top/>
      <bottom/>
      <diagonal/>
    </border>
    <border>
      <left style="medium">
        <color indexed="62"/>
      </left>
      <right style="hair">
        <color indexed="62"/>
      </right>
      <top style="medium">
        <color indexed="62"/>
      </top>
      <bottom style="hair">
        <color indexed="62"/>
      </bottom>
      <diagonal/>
    </border>
    <border>
      <left style="hair">
        <color indexed="62"/>
      </left>
      <right style="hair">
        <color indexed="62"/>
      </right>
      <top style="medium">
        <color indexed="62"/>
      </top>
      <bottom style="hair">
        <color indexed="62"/>
      </bottom>
      <diagonal/>
    </border>
    <border>
      <left style="hair">
        <color indexed="62"/>
      </left>
      <right style="thin">
        <color auto="1"/>
      </right>
      <top style="medium">
        <color indexed="62"/>
      </top>
      <bottom style="hair">
        <color indexed="62"/>
      </bottom>
      <diagonal/>
    </border>
    <border>
      <left style="medium">
        <color indexed="62"/>
      </left>
      <right style="hair">
        <color indexed="62"/>
      </right>
      <top style="hair">
        <color indexed="62"/>
      </top>
      <bottom style="hair">
        <color indexed="62"/>
      </bottom>
      <diagonal/>
    </border>
    <border>
      <left style="hair">
        <color indexed="62"/>
      </left>
      <right style="hair">
        <color indexed="62"/>
      </right>
      <top style="hair">
        <color indexed="62"/>
      </top>
      <bottom style="hair">
        <color indexed="62"/>
      </bottom>
      <diagonal/>
    </border>
    <border>
      <left style="hair">
        <color indexed="62"/>
      </left>
      <right style="thin">
        <color auto="1"/>
      </right>
      <top style="hair">
        <color indexed="62"/>
      </top>
      <bottom style="hair">
        <color indexed="62"/>
      </bottom>
      <diagonal/>
    </border>
    <border>
      <left style="medium">
        <color indexed="62"/>
      </left>
      <right style="hair">
        <color indexed="62"/>
      </right>
      <top style="hair">
        <color indexed="62"/>
      </top>
      <bottom style="thin">
        <color auto="1"/>
      </bottom>
      <diagonal/>
    </border>
    <border>
      <left style="hair">
        <color indexed="62"/>
      </left>
      <right style="hair">
        <color indexed="62"/>
      </right>
      <top style="hair">
        <color indexed="62"/>
      </top>
      <bottom style="thin">
        <color auto="1"/>
      </bottom>
      <diagonal/>
    </border>
    <border>
      <left style="hair">
        <color indexed="62"/>
      </left>
      <right style="thin">
        <color auto="1"/>
      </right>
      <top style="hair">
        <color indexed="62"/>
      </top>
      <bottom style="thin">
        <color auto="1"/>
      </bottom>
      <diagonal/>
    </border>
    <border>
      <left style="medium">
        <color indexed="62"/>
      </left>
      <right style="hair">
        <color indexed="62"/>
      </right>
      <top style="hair">
        <color indexed="62"/>
      </top>
      <bottom style="medium">
        <color indexed="62"/>
      </bottom>
      <diagonal/>
    </border>
    <border>
      <left style="hair">
        <color indexed="62"/>
      </left>
      <right style="hair">
        <color indexed="62"/>
      </right>
      <top style="hair">
        <color indexed="62"/>
      </top>
      <bottom style="medium">
        <color indexed="62"/>
      </bottom>
      <diagonal/>
    </border>
    <border>
      <left style="hair">
        <color indexed="62"/>
      </left>
      <right style="thin">
        <color auto="1"/>
      </right>
      <top style="hair">
        <color indexed="62"/>
      </top>
      <bottom style="medium">
        <color indexed="62"/>
      </bottom>
      <diagonal/>
    </border>
    <border>
      <left style="medium">
        <color indexed="62"/>
      </left>
      <right/>
      <top/>
      <bottom style="hair">
        <color indexed="62"/>
      </bottom>
      <diagonal/>
    </border>
    <border>
      <left style="thin">
        <color auto="1"/>
      </left>
      <right style="thin">
        <color auto="1"/>
      </right>
      <top/>
      <bottom/>
      <diagonal/>
    </border>
    <border>
      <left style="thin">
        <color auto="1"/>
      </left>
      <right style="thin">
        <color auto="1"/>
      </right>
      <top/>
      <bottom style="medium">
        <color auto="1"/>
      </bottom>
      <diagonal/>
    </border>
    <border>
      <left style="medium">
        <color indexed="62"/>
      </left>
      <right/>
      <top style="hair">
        <color indexed="62"/>
      </top>
      <bottom/>
      <diagonal/>
    </border>
    <border>
      <left/>
      <right/>
      <top style="medium">
        <color indexed="62"/>
      </top>
      <bottom/>
      <diagonal/>
    </border>
    <border>
      <left/>
      <right style="medium">
        <color indexed="62"/>
      </right>
      <top style="medium">
        <color indexed="62"/>
      </top>
      <bottom/>
      <diagonal/>
    </border>
    <border>
      <left style="medium">
        <color indexed="62"/>
      </left>
      <right/>
      <top style="medium">
        <color indexed="62"/>
      </top>
      <bottom/>
      <diagonal/>
    </border>
    <border>
      <left/>
      <right/>
      <top style="medium">
        <color indexed="62"/>
      </top>
      <bottom style="medium">
        <color indexed="62"/>
      </bottom>
      <diagonal/>
    </border>
    <border>
      <left/>
      <right/>
      <top/>
      <bottom style="medium">
        <color indexed="62"/>
      </bottom>
      <diagonal/>
    </border>
    <border>
      <left/>
      <right style="medium">
        <color indexed="62"/>
      </right>
      <top/>
      <bottom style="medium">
        <color indexed="62"/>
      </bottom>
      <diagonal/>
    </border>
    <border>
      <left style="medium">
        <color indexed="62"/>
      </left>
      <right style="medium">
        <color indexed="62"/>
      </right>
      <top style="thin">
        <color auto="1"/>
      </top>
      <bottom style="thin">
        <color auto="1"/>
      </bottom>
      <diagonal/>
    </border>
    <border>
      <left/>
      <right/>
      <top style="medium">
        <color indexed="62"/>
      </top>
      <bottom style="dotted">
        <color indexed="62"/>
      </bottom>
      <diagonal/>
    </border>
    <border>
      <left/>
      <right style="thin">
        <color auto="1"/>
      </right>
      <top style="medium">
        <color indexed="62"/>
      </top>
      <bottom style="dotted">
        <color indexed="62"/>
      </bottom>
      <diagonal/>
    </border>
    <border>
      <left/>
      <right/>
      <top style="dotted">
        <color indexed="62"/>
      </top>
      <bottom style="dotted">
        <color indexed="62"/>
      </bottom>
      <diagonal/>
    </border>
    <border>
      <left/>
      <right style="thin">
        <color auto="1"/>
      </right>
      <top style="dotted">
        <color indexed="62"/>
      </top>
      <bottom style="dotted">
        <color indexed="62"/>
      </bottom>
      <diagonal/>
    </border>
    <border>
      <left/>
      <right/>
      <top style="dotted">
        <color indexed="62"/>
      </top>
      <bottom style="medium">
        <color indexed="62"/>
      </bottom>
      <diagonal/>
    </border>
    <border>
      <left/>
      <right style="thin">
        <color auto="1"/>
      </right>
      <top style="dotted">
        <color indexed="62"/>
      </top>
      <bottom style="medium">
        <color indexed="62"/>
      </bottom>
      <diagonal/>
    </border>
    <border>
      <left style="medium">
        <color indexed="62"/>
      </left>
      <right/>
      <top style="medium">
        <color indexed="62"/>
      </top>
      <bottom style="dotted">
        <color indexed="62"/>
      </bottom>
      <diagonal/>
    </border>
    <border>
      <left/>
      <right style="medium">
        <color indexed="62"/>
      </right>
      <top style="medium">
        <color indexed="62"/>
      </top>
      <bottom style="dotted">
        <color indexed="62"/>
      </bottom>
      <diagonal/>
    </border>
    <border>
      <left style="medium">
        <color indexed="62"/>
      </left>
      <right/>
      <top style="dotted">
        <color indexed="62"/>
      </top>
      <bottom style="dotted">
        <color indexed="62"/>
      </bottom>
      <diagonal/>
    </border>
    <border>
      <left/>
      <right style="medium">
        <color indexed="62"/>
      </right>
      <top style="dotted">
        <color indexed="62"/>
      </top>
      <bottom style="dotted">
        <color indexed="62"/>
      </bottom>
      <diagonal/>
    </border>
    <border>
      <left style="medium">
        <color indexed="62"/>
      </left>
      <right/>
      <top style="dotted">
        <color indexed="62"/>
      </top>
      <bottom style="medium">
        <color indexed="62"/>
      </bottom>
      <diagonal/>
    </border>
    <border>
      <left/>
      <right style="medium">
        <color indexed="62"/>
      </right>
      <top style="dotted">
        <color indexed="62"/>
      </top>
      <bottom style="medium">
        <color indexed="62"/>
      </bottom>
      <diagonal/>
    </border>
    <border>
      <left/>
      <right/>
      <top/>
      <bottom style="medium">
        <color auto="1"/>
      </bottom>
      <diagonal/>
    </border>
    <border>
      <left style="thin">
        <color auto="1"/>
      </left>
      <right style="thin">
        <color auto="1"/>
      </right>
      <top style="thin">
        <color auto="1"/>
      </top>
      <bottom style="thin">
        <color auto="1"/>
      </bottom>
      <diagonal/>
    </border>
  </borders>
  <cellStyleXfs count="2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0" fillId="0" borderId="0"/>
    <xf numFmtId="9" fontId="10" fillId="0" borderId="0" applyFont="0" applyFill="0" applyBorder="0" applyAlignment="0" applyProtection="0"/>
    <xf numFmtId="0" fontId="16" fillId="9" borderId="0" applyNumberFormat="0" applyBorder="0" applyAlignment="0" applyProtection="0"/>
    <xf numFmtId="0" fontId="10" fillId="0" borderId="0"/>
    <xf numFmtId="44" fontId="17" fillId="0" borderId="0" applyFont="0" applyFill="0" applyBorder="0" applyAlignment="0" applyProtection="0"/>
    <xf numFmtId="0" fontId="17" fillId="0" borderId="0"/>
    <xf numFmtId="9" fontId="17" fillId="0" borderId="0" applyFont="0" applyFill="0" applyBorder="0" applyAlignment="0" applyProtection="0"/>
    <xf numFmtId="9" fontId="19" fillId="0" borderId="0" applyFont="0" applyFill="0" applyBorder="0" applyAlignment="0" applyProtection="0"/>
    <xf numFmtId="0" fontId="25" fillId="0" borderId="0" applyNumberFormat="0" applyFill="0" applyBorder="0" applyAlignment="0" applyProtection="0"/>
    <xf numFmtId="44" fontId="19" fillId="0" borderId="0" applyFont="0" applyFill="0" applyBorder="0" applyAlignment="0" applyProtection="0"/>
    <xf numFmtId="0" fontId="1" fillId="14" borderId="0" applyNumberFormat="0" applyBorder="0" applyAlignment="0" applyProtection="0"/>
    <xf numFmtId="0" fontId="37" fillId="0" borderId="0"/>
    <xf numFmtId="43" fontId="19" fillId="0" borderId="0" applyFont="0" applyFill="0" applyBorder="0" applyAlignment="0" applyProtection="0"/>
    <xf numFmtId="0" fontId="45" fillId="23" borderId="0" applyNumberFormat="0" applyBorder="0" applyAlignment="0" applyProtection="0"/>
    <xf numFmtId="0" fontId="19" fillId="24" borderId="0" applyNumberFormat="0" applyBorder="0" applyAlignment="0" applyProtection="0"/>
    <xf numFmtId="41" fontId="19" fillId="0" borderId="0" applyFont="0" applyFill="0" applyBorder="0" applyAlignment="0" applyProtection="0"/>
    <xf numFmtId="169" fontId="17" fillId="0" borderId="0" applyFill="0" applyBorder="0" applyAlignment="0" applyProtection="0"/>
    <xf numFmtId="9" fontId="17" fillId="0" borderId="0" applyFill="0" applyBorder="0" applyAlignment="0" applyProtection="0"/>
    <xf numFmtId="9" fontId="17" fillId="0" borderId="0" applyFill="0" applyBorder="0" applyAlignment="0" applyProtection="0"/>
  </cellStyleXfs>
  <cellXfs count="885">
    <xf numFmtId="0" fontId="0" fillId="0" borderId="0" xfId="0"/>
    <xf numFmtId="0" fontId="2" fillId="0" borderId="0" xfId="0" applyFont="1"/>
    <xf numFmtId="0" fontId="4" fillId="5" borderId="0" xfId="2" applyFont="1" applyFill="1" applyBorder="1" applyAlignment="1" applyProtection="1">
      <alignment horizontal="left"/>
    </xf>
    <xf numFmtId="0" fontId="4" fillId="6" borderId="0" xfId="3" applyFont="1" applyFill="1" applyBorder="1" applyAlignment="1" applyProtection="1">
      <alignment horizontal="left"/>
    </xf>
    <xf numFmtId="2" fontId="4" fillId="6" borderId="0" xfId="3" applyNumberFormat="1" applyFont="1" applyFill="1" applyBorder="1" applyAlignment="1" applyProtection="1">
      <alignment horizontal="center"/>
    </xf>
    <xf numFmtId="0" fontId="13" fillId="0" borderId="0" xfId="0" applyFont="1"/>
    <xf numFmtId="0" fontId="0" fillId="0" borderId="0" xfId="0" applyBorder="1"/>
    <xf numFmtId="0" fontId="2" fillId="0" borderId="0" xfId="0" applyFont="1" applyBorder="1"/>
    <xf numFmtId="0" fontId="2" fillId="0" borderId="0" xfId="0" applyFont="1" applyBorder="1" applyAlignment="1">
      <alignment vertical="center" wrapText="1"/>
    </xf>
    <xf numFmtId="0" fontId="12" fillId="0" borderId="0" xfId="0" applyFont="1" applyBorder="1" applyAlignment="1">
      <alignment vertical="center" wrapText="1"/>
    </xf>
    <xf numFmtId="0" fontId="0" fillId="0" borderId="0" xfId="0" applyAlignment="1">
      <alignment wrapText="1"/>
    </xf>
    <xf numFmtId="0" fontId="7" fillId="10" borderId="1" xfId="2" applyFont="1" applyFill="1" applyBorder="1" applyAlignment="1" applyProtection="1">
      <alignment horizontal="center"/>
      <protection locked="0"/>
    </xf>
    <xf numFmtId="0" fontId="2" fillId="11" borderId="0" xfId="0" applyFont="1" applyFill="1" applyBorder="1" applyProtection="1"/>
    <xf numFmtId="0" fontId="5" fillId="10" borderId="11" xfId="0" applyFont="1" applyFill="1" applyBorder="1" applyAlignment="1" applyProtection="1">
      <alignment horizontal="center"/>
      <protection locked="0"/>
    </xf>
    <xf numFmtId="0" fontId="5" fillId="10" borderId="1" xfId="0" applyFont="1" applyFill="1" applyBorder="1" applyAlignment="1" applyProtection="1">
      <alignment horizontal="center"/>
      <protection locked="0"/>
    </xf>
    <xf numFmtId="164" fontId="5" fillId="10" borderId="1" xfId="0" applyNumberFormat="1" applyFont="1" applyFill="1" applyBorder="1" applyAlignment="1" applyProtection="1">
      <alignment horizontal="center"/>
      <protection locked="0"/>
    </xf>
    <xf numFmtId="0" fontId="2" fillId="8" borderId="0" xfId="0" applyFont="1" applyFill="1"/>
    <xf numFmtId="0" fontId="2" fillId="8" borderId="0" xfId="0" applyFont="1" applyFill="1" applyBorder="1"/>
    <xf numFmtId="0" fontId="7" fillId="8" borderId="1" xfId="2" applyFont="1" applyFill="1" applyBorder="1" applyAlignment="1" applyProtection="1">
      <alignment horizontal="center"/>
    </xf>
    <xf numFmtId="0" fontId="1" fillId="0" borderId="0" xfId="0" applyFont="1"/>
    <xf numFmtId="0" fontId="11" fillId="0" borderId="0" xfId="0" applyFont="1" applyFill="1" applyBorder="1" applyProtection="1">
      <protection hidden="1"/>
    </xf>
    <xf numFmtId="0" fontId="11" fillId="0" borderId="0" xfId="0" applyFont="1" applyProtection="1">
      <protection hidden="1"/>
    </xf>
    <xf numFmtId="0" fontId="11" fillId="0" borderId="0" xfId="0" applyFont="1" applyFill="1" applyBorder="1" applyAlignment="1" applyProtection="1">
      <alignment horizontal="right"/>
      <protection hidden="1"/>
    </xf>
    <xf numFmtId="0" fontId="7" fillId="10" borderId="20" xfId="2" applyFont="1" applyFill="1" applyBorder="1" applyAlignment="1" applyProtection="1">
      <alignment horizontal="center"/>
      <protection locked="0"/>
    </xf>
    <xf numFmtId="0" fontId="15" fillId="0" borderId="0" xfId="0" applyFont="1"/>
    <xf numFmtId="0" fontId="17" fillId="10" borderId="25" xfId="4" applyFont="1" applyFill="1" applyBorder="1" applyAlignment="1" applyProtection="1">
      <protection locked="0"/>
    </xf>
    <xf numFmtId="0" fontId="17" fillId="10" borderId="26" xfId="4" applyFont="1" applyFill="1" applyBorder="1" applyAlignment="1" applyProtection="1">
      <protection locked="0"/>
    </xf>
    <xf numFmtId="1" fontId="17" fillId="8" borderId="1" xfId="4" applyNumberFormat="1" applyFont="1" applyFill="1" applyBorder="1" applyAlignment="1" applyProtection="1">
      <alignment horizontal="center"/>
    </xf>
    <xf numFmtId="165" fontId="17" fillId="8" borderId="1" xfId="4" applyNumberFormat="1" applyFont="1" applyFill="1" applyBorder="1" applyAlignment="1" applyProtection="1">
      <alignment horizontal="center"/>
    </xf>
    <xf numFmtId="0" fontId="17" fillId="0" borderId="0" xfId="0" applyFont="1" applyFill="1" applyBorder="1" applyAlignment="1" applyProtection="1">
      <alignment horizontal="right"/>
    </xf>
    <xf numFmtId="0" fontId="17" fillId="0" borderId="0" xfId="0" applyFont="1" applyFill="1" applyBorder="1" applyProtection="1"/>
    <xf numFmtId="0" fontId="15" fillId="0" borderId="0" xfId="0" applyFont="1" applyProtection="1"/>
    <xf numFmtId="0" fontId="17" fillId="11" borderId="0" xfId="7" applyFont="1" applyFill="1" applyBorder="1" applyProtection="1"/>
    <xf numFmtId="9" fontId="7" fillId="15" borderId="1" xfId="11" applyFont="1" applyFill="1" applyBorder="1" applyAlignment="1" applyProtection="1">
      <alignment horizontal="center"/>
    </xf>
    <xf numFmtId="0" fontId="17" fillId="11" borderId="3" xfId="7" applyFont="1" applyFill="1" applyBorder="1" applyProtection="1"/>
    <xf numFmtId="0" fontId="15" fillId="0" borderId="0" xfId="0" applyFont="1" applyBorder="1" applyProtection="1"/>
    <xf numFmtId="0" fontId="17" fillId="11" borderId="9" xfId="7" applyFont="1" applyFill="1" applyBorder="1" applyProtection="1"/>
    <xf numFmtId="0" fontId="15" fillId="0" borderId="0" xfId="0" applyFont="1" applyAlignment="1" applyProtection="1">
      <alignment horizontal="center" wrapText="1"/>
    </xf>
    <xf numFmtId="0" fontId="15" fillId="0" borderId="10" xfId="0" applyFont="1" applyBorder="1" applyProtection="1"/>
    <xf numFmtId="0" fontId="15" fillId="0" borderId="7" xfId="0" applyFont="1" applyBorder="1" applyProtection="1"/>
    <xf numFmtId="0" fontId="15" fillId="0" borderId="4" xfId="0" applyFont="1" applyBorder="1" applyProtection="1"/>
    <xf numFmtId="166" fontId="17" fillId="12" borderId="1" xfId="13" applyNumberFormat="1" applyFont="1" applyFill="1" applyBorder="1" applyProtection="1"/>
    <xf numFmtId="0" fontId="17" fillId="12" borderId="1" xfId="7" applyFont="1" applyFill="1" applyBorder="1" applyAlignment="1" applyProtection="1">
      <alignment horizontal="center"/>
    </xf>
    <xf numFmtId="166" fontId="17" fillId="12" borderId="1" xfId="13" applyNumberFormat="1" applyFont="1" applyFill="1" applyBorder="1" applyAlignment="1" applyProtection="1">
      <alignment horizontal="center"/>
    </xf>
    <xf numFmtId="9" fontId="17" fillId="12" borderId="1" xfId="11" applyFont="1" applyFill="1" applyBorder="1" applyAlignment="1" applyProtection="1">
      <alignment horizontal="center"/>
    </xf>
    <xf numFmtId="167" fontId="17" fillId="12" borderId="1" xfId="7" applyNumberFormat="1" applyFont="1" applyFill="1" applyBorder="1" applyAlignment="1" applyProtection="1">
      <alignment horizontal="center"/>
    </xf>
    <xf numFmtId="164" fontId="17" fillId="12" borderId="1" xfId="7" applyNumberFormat="1" applyFont="1" applyFill="1" applyBorder="1" applyAlignment="1" applyProtection="1">
      <alignment horizontal="center"/>
    </xf>
    <xf numFmtId="44" fontId="17" fillId="12" borderId="1" xfId="13" applyFont="1" applyFill="1" applyBorder="1" applyAlignment="1" applyProtection="1">
      <alignment horizontal="center"/>
    </xf>
    <xf numFmtId="166" fontId="7" fillId="10" borderId="1" xfId="13" applyNumberFormat="1" applyFont="1" applyFill="1" applyBorder="1" applyAlignment="1" applyProtection="1">
      <protection locked="0"/>
    </xf>
    <xf numFmtId="0" fontId="7" fillId="15" borderId="1" xfId="7" applyFont="1" applyFill="1" applyBorder="1" applyAlignment="1" applyProtection="1">
      <alignment horizontal="center"/>
    </xf>
    <xf numFmtId="166" fontId="7" fillId="15" borderId="1" xfId="13" applyNumberFormat="1" applyFont="1" applyFill="1" applyBorder="1" applyAlignment="1" applyProtection="1">
      <alignment horizontal="center"/>
    </xf>
    <xf numFmtId="44" fontId="7" fillId="15" borderId="1" xfId="13" applyFont="1" applyFill="1" applyBorder="1" applyAlignment="1" applyProtection="1">
      <alignment horizontal="center"/>
    </xf>
    <xf numFmtId="167" fontId="7" fillId="15" borderId="1" xfId="7" applyNumberFormat="1" applyFont="1" applyFill="1" applyBorder="1" applyAlignment="1" applyProtection="1">
      <alignment horizontal="center"/>
    </xf>
    <xf numFmtId="164" fontId="7" fillId="15" borderId="1" xfId="7" applyNumberFormat="1" applyFont="1" applyFill="1" applyBorder="1" applyAlignment="1" applyProtection="1">
      <alignment horizontal="center"/>
    </xf>
    <xf numFmtId="44" fontId="5" fillId="15" borderId="1" xfId="13" applyFont="1" applyFill="1" applyBorder="1" applyAlignment="1" applyProtection="1">
      <alignment horizontal="center"/>
    </xf>
    <xf numFmtId="0" fontId="6" fillId="11" borderId="10" xfId="0" applyFont="1" applyFill="1" applyBorder="1" applyAlignment="1" applyProtection="1"/>
    <xf numFmtId="0" fontId="17" fillId="12" borderId="20" xfId="7" applyFont="1" applyFill="1" applyBorder="1" applyProtection="1"/>
    <xf numFmtId="0" fontId="11" fillId="0" borderId="0" xfId="7" applyFont="1" applyBorder="1" applyProtection="1"/>
    <xf numFmtId="1" fontId="11" fillId="0" borderId="0" xfId="7" applyNumberFormat="1" applyFont="1" applyBorder="1" applyProtection="1"/>
    <xf numFmtId="0" fontId="5" fillId="15" borderId="20" xfId="0" applyFont="1" applyFill="1" applyBorder="1" applyAlignment="1" applyProtection="1">
      <alignment horizontal="left"/>
    </xf>
    <xf numFmtId="0" fontId="15" fillId="11" borderId="0" xfId="0" applyFont="1" applyFill="1"/>
    <xf numFmtId="0" fontId="31" fillId="9" borderId="1" xfId="6" applyFont="1" applyBorder="1"/>
    <xf numFmtId="0" fontId="6" fillId="15" borderId="1" xfId="0" applyFont="1" applyFill="1" applyBorder="1" applyAlignment="1" applyProtection="1">
      <alignment horizontal="center"/>
    </xf>
    <xf numFmtId="0" fontId="0" fillId="0" borderId="0" xfId="0" applyProtection="1"/>
    <xf numFmtId="0" fontId="0" fillId="0" borderId="0" xfId="0" applyAlignment="1" applyProtection="1">
      <alignment vertical="top"/>
    </xf>
    <xf numFmtId="0" fontId="0" fillId="0" borderId="0" xfId="0" applyAlignment="1" applyProtection="1">
      <alignment horizontal="left"/>
    </xf>
    <xf numFmtId="0" fontId="35" fillId="0" borderId="0" xfId="0" applyFont="1" applyAlignment="1" applyProtection="1">
      <alignment horizontal="left" vertical="top"/>
    </xf>
    <xf numFmtId="0" fontId="37" fillId="0" borderId="0" xfId="15"/>
    <xf numFmtId="0" fontId="37" fillId="0" borderId="0" xfId="15" applyAlignment="1"/>
    <xf numFmtId="0" fontId="37" fillId="0" borderId="2" xfId="15" applyBorder="1" applyAlignment="1"/>
    <xf numFmtId="0" fontId="37" fillId="0" borderId="0" xfId="15" applyBorder="1" applyAlignment="1"/>
    <xf numFmtId="0" fontId="37" fillId="0" borderId="0" xfId="15" applyBorder="1"/>
    <xf numFmtId="0" fontId="37" fillId="0" borderId="19" xfId="15" applyBorder="1"/>
    <xf numFmtId="0" fontId="37" fillId="0" borderId="1" xfId="15" applyBorder="1"/>
    <xf numFmtId="0" fontId="39" fillId="0" borderId="0" xfId="15" applyFont="1"/>
    <xf numFmtId="0" fontId="37" fillId="0" borderId="1" xfId="15" applyBorder="1" applyAlignment="1">
      <alignment horizontal="center"/>
    </xf>
    <xf numFmtId="0" fontId="37" fillId="0" borderId="0" xfId="15" applyAlignment="1">
      <alignment horizontal="center"/>
    </xf>
    <xf numFmtId="0" fontId="40" fillId="0" borderId="0" xfId="15" applyFont="1" applyProtection="1">
      <protection hidden="1"/>
    </xf>
    <xf numFmtId="0" fontId="37" fillId="0" borderId="0" xfId="15" applyAlignment="1">
      <alignment wrapText="1"/>
    </xf>
    <xf numFmtId="0" fontId="37" fillId="0" borderId="0" xfId="15" applyAlignment="1">
      <alignment horizontal="center" wrapText="1"/>
    </xf>
    <xf numFmtId="0" fontId="37" fillId="0" borderId="0" xfId="15" applyBorder="1" applyAlignment="1">
      <alignment wrapText="1"/>
    </xf>
    <xf numFmtId="0" fontId="38" fillId="0" borderId="0" xfId="15" applyFont="1" applyBorder="1" applyAlignment="1">
      <alignment horizontal="right"/>
    </xf>
    <xf numFmtId="0" fontId="38" fillId="0" borderId="35" xfId="15" applyFont="1" applyBorder="1" applyAlignment="1">
      <alignment horizontal="center"/>
    </xf>
    <xf numFmtId="0" fontId="37" fillId="0" borderId="0" xfId="15" applyBorder="1" applyAlignment="1">
      <alignment horizontal="right"/>
    </xf>
    <xf numFmtId="0" fontId="10" fillId="0" borderId="0" xfId="15" applyFont="1"/>
    <xf numFmtId="0" fontId="37" fillId="0" borderId="0" xfId="15" applyAlignment="1">
      <alignment horizontal="right"/>
    </xf>
    <xf numFmtId="0" fontId="37" fillId="0" borderId="0" xfId="15" quotePrefix="1" applyAlignment="1">
      <alignment horizontal="right"/>
    </xf>
    <xf numFmtId="0" fontId="43" fillId="0" borderId="0" xfId="4" applyFont="1"/>
    <xf numFmtId="0" fontId="10" fillId="0" borderId="0" xfId="4"/>
    <xf numFmtId="0" fontId="10" fillId="0" borderId="0" xfId="4" quotePrefix="1" applyAlignment="1">
      <alignment horizontal="center"/>
    </xf>
    <xf numFmtId="0" fontId="10" fillId="0" borderId="0" xfId="4" quotePrefix="1" applyNumberFormat="1" applyAlignment="1">
      <alignment horizontal="left" wrapText="1"/>
    </xf>
    <xf numFmtId="0" fontId="10" fillId="0" borderId="4" xfId="4" applyBorder="1"/>
    <xf numFmtId="0" fontId="10" fillId="0" borderId="5" xfId="4" applyBorder="1"/>
    <xf numFmtId="0" fontId="10" fillId="0" borderId="6" xfId="4" quotePrefix="1" applyNumberFormat="1" applyBorder="1" applyAlignment="1">
      <alignment horizontal="left" wrapText="1"/>
    </xf>
    <xf numFmtId="0" fontId="10" fillId="0" borderId="7" xfId="4" applyBorder="1"/>
    <xf numFmtId="0" fontId="10" fillId="0" borderId="8" xfId="4" applyBorder="1"/>
    <xf numFmtId="0" fontId="10" fillId="0" borderId="9" xfId="4" quotePrefix="1" applyNumberFormat="1" applyBorder="1" applyAlignment="1">
      <alignment horizontal="left" wrapText="1"/>
    </xf>
    <xf numFmtId="0" fontId="14" fillId="0" borderId="0" xfId="4" applyFont="1"/>
    <xf numFmtId="0" fontId="25" fillId="0" borderId="0" xfId="12" applyFill="1" applyBorder="1" applyAlignment="1" applyProtection="1">
      <alignment horizontal="center"/>
    </xf>
    <xf numFmtId="0" fontId="10" fillId="0" borderId="0" xfId="4" applyBorder="1"/>
    <xf numFmtId="0" fontId="10" fillId="0" borderId="29" xfId="4" applyBorder="1"/>
    <xf numFmtId="0" fontId="10" fillId="0" borderId="30" xfId="4" applyBorder="1"/>
    <xf numFmtId="0" fontId="9" fillId="0" borderId="2" xfId="4" applyFont="1" applyBorder="1"/>
    <xf numFmtId="0" fontId="25" fillId="0" borderId="0" xfId="12" applyBorder="1" applyAlignment="1" applyProtection="1"/>
    <xf numFmtId="0" fontId="10" fillId="0" borderId="0" xfId="4" applyBorder="1" applyAlignment="1">
      <alignment wrapText="1"/>
    </xf>
    <xf numFmtId="0" fontId="10" fillId="0" borderId="2" xfId="4" applyBorder="1"/>
    <xf numFmtId="0" fontId="10" fillId="0" borderId="42" xfId="4" applyBorder="1"/>
    <xf numFmtId="0" fontId="10" fillId="0" borderId="14" xfId="4" applyBorder="1"/>
    <xf numFmtId="0" fontId="0" fillId="0" borderId="14" xfId="0" applyBorder="1"/>
    <xf numFmtId="0" fontId="10" fillId="0" borderId="14" xfId="4" applyBorder="1" applyAlignment="1">
      <alignment wrapText="1"/>
    </xf>
    <xf numFmtId="0" fontId="0" fillId="0" borderId="30" xfId="0" applyBorder="1"/>
    <xf numFmtId="0" fontId="37" fillId="0" borderId="30" xfId="15" applyBorder="1"/>
    <xf numFmtId="0" fontId="37" fillId="0" borderId="31" xfId="15" applyBorder="1"/>
    <xf numFmtId="0" fontId="37" fillId="0" borderId="32" xfId="15" applyBorder="1"/>
    <xf numFmtId="0" fontId="37" fillId="0" borderId="14" xfId="15" applyBorder="1"/>
    <xf numFmtId="0" fontId="37" fillId="0" borderId="16" xfId="15" applyBorder="1"/>
    <xf numFmtId="0" fontId="37" fillId="15" borderId="1" xfId="15" applyFill="1" applyBorder="1" applyAlignment="1">
      <alignment horizontal="center"/>
    </xf>
    <xf numFmtId="1" fontId="37" fillId="15" borderId="1" xfId="15" applyNumberFormat="1" applyFill="1" applyBorder="1" applyAlignment="1">
      <alignment horizontal="center"/>
    </xf>
    <xf numFmtId="14" fontId="0" fillId="0" borderId="0" xfId="0" applyNumberFormat="1"/>
    <xf numFmtId="0" fontId="10" fillId="0" borderId="1" xfId="15" applyFont="1" applyBorder="1" applyProtection="1">
      <protection hidden="1"/>
    </xf>
    <xf numFmtId="44" fontId="17" fillId="12" borderId="1" xfId="13" applyNumberFormat="1" applyFont="1" applyFill="1" applyBorder="1" applyProtection="1"/>
    <xf numFmtId="0" fontId="25" fillId="21" borderId="0" xfId="12" applyFill="1" applyAlignment="1">
      <alignment vertical="top" wrapText="1"/>
    </xf>
    <xf numFmtId="0" fontId="25" fillId="22" borderId="0" xfId="12" applyFill="1" applyAlignment="1">
      <alignment vertical="top" wrapText="1"/>
    </xf>
    <xf numFmtId="0" fontId="25" fillId="0" borderId="0" xfId="12"/>
    <xf numFmtId="0" fontId="15" fillId="10" borderId="1" xfId="0" applyFont="1" applyFill="1" applyBorder="1" applyAlignment="1" applyProtection="1">
      <alignment horizontal="center" vertical="center"/>
      <protection locked="0"/>
    </xf>
    <xf numFmtId="0" fontId="2" fillId="0" borderId="0" xfId="0" applyFont="1" applyProtection="1">
      <protection locked="0"/>
    </xf>
    <xf numFmtId="0" fontId="9" fillId="0" borderId="0" xfId="0" applyFont="1" applyProtection="1">
      <protection locked="0"/>
    </xf>
    <xf numFmtId="14" fontId="44" fillId="0" borderId="0" xfId="0" applyNumberFormat="1" applyFont="1" applyProtection="1">
      <protection locked="0"/>
    </xf>
    <xf numFmtId="0" fontId="0" fillId="0" borderId="0" xfId="0" applyProtection="1">
      <protection locked="0"/>
    </xf>
    <xf numFmtId="14" fontId="0" fillId="0" borderId="0" xfId="0" applyNumberFormat="1" applyProtection="1">
      <protection locked="0"/>
    </xf>
    <xf numFmtId="0" fontId="6" fillId="8" borderId="0" xfId="0" applyFont="1" applyFill="1" applyBorder="1" applyAlignment="1" applyProtection="1"/>
    <xf numFmtId="0" fontId="17" fillId="11" borderId="0" xfId="4" applyFont="1" applyFill="1" applyBorder="1" applyAlignment="1">
      <alignment horizontal="center" vertical="center" wrapText="1"/>
    </xf>
    <xf numFmtId="0" fontId="27" fillId="11" borderId="0" xfId="0" applyFont="1" applyFill="1" applyBorder="1" applyAlignment="1" applyProtection="1">
      <alignment horizontal="right"/>
    </xf>
    <xf numFmtId="164" fontId="7" fillId="10" borderId="1" xfId="2" applyNumberFormat="1" applyFont="1" applyFill="1" applyBorder="1" applyAlignment="1" applyProtection="1">
      <alignment horizontal="center" vertical="center"/>
      <protection locked="0"/>
    </xf>
    <xf numFmtId="0" fontId="6" fillId="8" borderId="5" xfId="0" applyFont="1" applyFill="1" applyBorder="1" applyAlignment="1" applyProtection="1"/>
    <xf numFmtId="1" fontId="7" fillId="8" borderId="66" xfId="2" applyNumberFormat="1" applyFont="1" applyFill="1" applyBorder="1" applyAlignment="1" applyProtection="1">
      <alignment horizontal="center"/>
    </xf>
    <xf numFmtId="0" fontId="10" fillId="8" borderId="0" xfId="4" applyFill="1"/>
    <xf numFmtId="2" fontId="10" fillId="8" borderId="9" xfId="4" applyNumberFormat="1" applyFill="1" applyBorder="1" applyAlignment="1">
      <alignment horizontal="center" vertical="center"/>
    </xf>
    <xf numFmtId="164" fontId="10" fillId="8" borderId="8" xfId="4" applyNumberFormat="1" applyFill="1" applyBorder="1" applyAlignment="1">
      <alignment horizontal="center" vertical="center"/>
    </xf>
    <xf numFmtId="0" fontId="45" fillId="8" borderId="8" xfId="17" applyFill="1" applyBorder="1" applyAlignment="1">
      <alignment horizontal="center" vertical="center"/>
    </xf>
    <xf numFmtId="0" fontId="10" fillId="8" borderId="7" xfId="4" applyFill="1" applyBorder="1"/>
    <xf numFmtId="0" fontId="10" fillId="0" borderId="9" xfId="4" applyBorder="1" applyAlignment="1">
      <alignment horizontal="center" vertical="center"/>
    </xf>
    <xf numFmtId="0" fontId="10" fillId="0" borderId="7" xfId="4" applyBorder="1" applyAlignment="1">
      <alignment horizontal="center" vertical="center"/>
    </xf>
    <xf numFmtId="2" fontId="10" fillId="8" borderId="3" xfId="4" applyNumberFormat="1" applyFill="1" applyBorder="1" applyAlignment="1">
      <alignment horizontal="center" vertical="center"/>
    </xf>
    <xf numFmtId="164" fontId="10" fillId="8" borderId="0" xfId="4" applyNumberFormat="1" applyFill="1" applyBorder="1" applyAlignment="1">
      <alignment horizontal="center" vertical="center"/>
    </xf>
    <xf numFmtId="0" fontId="45" fillId="8" borderId="0" xfId="17" applyFill="1" applyBorder="1" applyAlignment="1">
      <alignment horizontal="center" vertical="center"/>
    </xf>
    <xf numFmtId="0" fontId="10" fillId="8" borderId="10" xfId="4" applyFill="1" applyBorder="1"/>
    <xf numFmtId="0" fontId="10" fillId="0" borderId="3" xfId="4" applyBorder="1" applyAlignment="1">
      <alignment horizontal="center" vertical="center"/>
    </xf>
    <xf numFmtId="0" fontId="10" fillId="0" borderId="10" xfId="4" applyBorder="1" applyAlignment="1">
      <alignment horizontal="center" vertical="center"/>
    </xf>
    <xf numFmtId="0" fontId="10" fillId="8" borderId="3" xfId="4" applyFill="1" applyBorder="1"/>
    <xf numFmtId="0" fontId="10" fillId="8" borderId="0" xfId="4" applyFill="1" applyBorder="1"/>
    <xf numFmtId="0" fontId="10" fillId="8" borderId="0" xfId="4" applyFill="1" applyBorder="1" applyAlignment="1">
      <alignment horizontal="center" vertical="center"/>
    </xf>
    <xf numFmtId="0" fontId="10" fillId="8" borderId="10" xfId="4" applyFill="1" applyBorder="1" applyAlignment="1">
      <alignment horizontal="center" vertical="center"/>
    </xf>
    <xf numFmtId="0" fontId="10" fillId="8" borderId="3" xfId="4" applyFill="1" applyBorder="1" applyAlignment="1">
      <alignment horizontal="center" vertical="center"/>
    </xf>
    <xf numFmtId="0" fontId="10" fillId="0" borderId="3" xfId="4" applyBorder="1"/>
    <xf numFmtId="0" fontId="10" fillId="0" borderId="10" xfId="4" applyBorder="1"/>
    <xf numFmtId="0" fontId="10" fillId="8" borderId="6" xfId="4" applyFill="1" applyBorder="1"/>
    <xf numFmtId="0" fontId="10" fillId="8" borderId="5" xfId="4" applyFill="1" applyBorder="1"/>
    <xf numFmtId="0" fontId="10" fillId="8" borderId="4" xfId="4" applyFill="1" applyBorder="1"/>
    <xf numFmtId="0" fontId="10" fillId="0" borderId="6" xfId="4" applyBorder="1"/>
    <xf numFmtId="0" fontId="46" fillId="0" borderId="0" xfId="4" applyFont="1"/>
    <xf numFmtId="164" fontId="10" fillId="8" borderId="9" xfId="4" applyNumberFormat="1" applyFill="1" applyBorder="1" applyAlignment="1">
      <alignment horizontal="center" vertical="center"/>
    </xf>
    <xf numFmtId="164" fontId="10" fillId="8" borderId="3" xfId="4" applyNumberFormat="1" applyFill="1" applyBorder="1" applyAlignment="1">
      <alignment horizontal="center" vertical="center"/>
    </xf>
    <xf numFmtId="0" fontId="0" fillId="0" borderId="3" xfId="0" applyBorder="1"/>
    <xf numFmtId="164" fontId="19" fillId="15" borderId="67" xfId="18" applyNumberFormat="1" applyFill="1" applyBorder="1" applyAlignment="1" applyProtection="1">
      <alignment horizontal="center"/>
    </xf>
    <xf numFmtId="2" fontId="45" fillId="23" borderId="21" xfId="17" applyNumberFormat="1" applyBorder="1" applyAlignment="1" applyProtection="1">
      <alignment horizontal="center"/>
    </xf>
    <xf numFmtId="0" fontId="45" fillId="23" borderId="0" xfId="17" applyBorder="1" applyProtection="1"/>
    <xf numFmtId="164" fontId="45" fillId="23" borderId="1" xfId="17" applyNumberFormat="1" applyBorder="1" applyAlignment="1" applyProtection="1">
      <alignment horizontal="center"/>
    </xf>
    <xf numFmtId="0" fontId="45" fillId="23" borderId="3" xfId="17" applyBorder="1" applyProtection="1"/>
    <xf numFmtId="1" fontId="45" fillId="23" borderId="21" xfId="17" applyNumberFormat="1" applyBorder="1" applyAlignment="1" applyProtection="1">
      <alignment horizontal="center"/>
    </xf>
    <xf numFmtId="44" fontId="2" fillId="15" borderId="1" xfId="13" applyFont="1" applyFill="1" applyBorder="1" applyAlignment="1" applyProtection="1">
      <alignment horizontal="center" vertical="center"/>
    </xf>
    <xf numFmtId="9" fontId="2" fillId="15" borderId="1" xfId="11" applyFont="1" applyFill="1" applyBorder="1" applyAlignment="1" applyProtection="1">
      <alignment horizontal="center" vertical="center"/>
    </xf>
    <xf numFmtId="41" fontId="2" fillId="15" borderId="1" xfId="19" applyFont="1" applyFill="1" applyBorder="1" applyAlignment="1" applyProtection="1">
      <alignment horizontal="right"/>
    </xf>
    <xf numFmtId="0" fontId="26" fillId="0" borderId="0" xfId="0" applyFont="1" applyProtection="1"/>
    <xf numFmtId="0" fontId="8" fillId="7" borderId="17" xfId="4" applyFont="1" applyFill="1" applyBorder="1" applyAlignment="1" applyProtection="1">
      <alignment horizontal="center"/>
    </xf>
    <xf numFmtId="0" fontId="8" fillId="7" borderId="41" xfId="4" applyFont="1" applyFill="1" applyBorder="1" applyAlignment="1" applyProtection="1">
      <alignment horizontal="center"/>
    </xf>
    <xf numFmtId="0" fontId="8" fillId="7" borderId="18" xfId="4" applyFont="1" applyFill="1" applyBorder="1" applyAlignment="1" applyProtection="1">
      <alignment horizontal="center"/>
    </xf>
    <xf numFmtId="0" fontId="26" fillId="0" borderId="0" xfId="0" applyFont="1" applyAlignment="1" applyProtection="1">
      <alignment horizontal="center" wrapText="1"/>
    </xf>
    <xf numFmtId="0" fontId="26" fillId="0" borderId="0" xfId="0" applyFont="1" applyBorder="1" applyProtection="1"/>
    <xf numFmtId="164" fontId="26" fillId="0" borderId="0" xfId="0" applyNumberFormat="1" applyFont="1" applyBorder="1" applyProtection="1"/>
    <xf numFmtId="0" fontId="26" fillId="0" borderId="0" xfId="0" applyFont="1" applyFill="1" applyBorder="1" applyProtection="1"/>
    <xf numFmtId="0" fontId="1" fillId="0" borderId="0" xfId="0" applyFont="1" applyProtection="1"/>
    <xf numFmtId="0" fontId="2" fillId="10" borderId="1" xfId="0" applyFont="1" applyFill="1" applyBorder="1" applyProtection="1">
      <protection locked="0"/>
    </xf>
    <xf numFmtId="0" fontId="48" fillId="0" borderId="0" xfId="0" applyFont="1" applyProtection="1"/>
    <xf numFmtId="0" fontId="15" fillId="7" borderId="3" xfId="0" applyFont="1" applyFill="1" applyBorder="1" applyProtection="1"/>
    <xf numFmtId="0" fontId="15" fillId="7" borderId="9" xfId="0" applyFont="1" applyFill="1" applyBorder="1" applyProtection="1"/>
    <xf numFmtId="0" fontId="15" fillId="7" borderId="6" xfId="0" applyFont="1" applyFill="1" applyBorder="1" applyProtection="1"/>
    <xf numFmtId="44" fontId="15" fillId="0" borderId="0" xfId="0" applyNumberFormat="1" applyFont="1" applyProtection="1"/>
    <xf numFmtId="1" fontId="15" fillId="0" borderId="0" xfId="0" applyNumberFormat="1" applyFont="1" applyProtection="1"/>
    <xf numFmtId="44" fontId="15" fillId="0" borderId="35" xfId="0" applyNumberFormat="1" applyFont="1" applyBorder="1" applyProtection="1"/>
    <xf numFmtId="164" fontId="17" fillId="12" borderId="34" xfId="7" applyNumberFormat="1" applyFont="1" applyFill="1" applyBorder="1" applyAlignment="1" applyProtection="1">
      <alignment horizontal="center"/>
    </xf>
    <xf numFmtId="0" fontId="17" fillId="12" borderId="17" xfId="7" applyFont="1" applyFill="1" applyBorder="1" applyProtection="1"/>
    <xf numFmtId="44" fontId="17" fillId="12" borderId="70" xfId="13" applyFont="1" applyFill="1" applyBorder="1" applyProtection="1"/>
    <xf numFmtId="0" fontId="17" fillId="12" borderId="70" xfId="7" applyFont="1" applyFill="1" applyBorder="1" applyAlignment="1" applyProtection="1">
      <alignment horizontal="center"/>
    </xf>
    <xf numFmtId="166" fontId="17" fillId="12" borderId="70" xfId="13" applyNumberFormat="1" applyFont="1" applyFill="1" applyBorder="1" applyProtection="1"/>
    <xf numFmtId="44" fontId="17" fillId="12" borderId="70" xfId="13" applyNumberFormat="1" applyFont="1" applyFill="1" applyBorder="1" applyProtection="1"/>
    <xf numFmtId="9" fontId="17" fillId="12" borderId="70" xfId="11" applyFont="1" applyFill="1" applyBorder="1" applyAlignment="1" applyProtection="1">
      <alignment horizontal="center"/>
    </xf>
    <xf numFmtId="44" fontId="7" fillId="15" borderId="70" xfId="13" applyFont="1" applyFill="1" applyBorder="1" applyAlignment="1" applyProtection="1">
      <alignment horizontal="center"/>
    </xf>
    <xf numFmtId="166" fontId="17" fillId="12" borderId="15" xfId="13" applyNumberFormat="1" applyFont="1" applyFill="1" applyBorder="1" applyProtection="1"/>
    <xf numFmtId="166" fontId="17" fillId="12" borderId="64" xfId="13" applyNumberFormat="1" applyFont="1" applyFill="1" applyBorder="1" applyProtection="1"/>
    <xf numFmtId="0" fontId="0" fillId="0" borderId="0" xfId="0" applyAlignment="1">
      <alignment vertical="center" wrapText="1"/>
    </xf>
    <xf numFmtId="0" fontId="44" fillId="0" borderId="71" xfId="0" applyFont="1" applyBorder="1" applyAlignment="1">
      <alignment horizontal="center" vertical="center" wrapText="1"/>
    </xf>
    <xf numFmtId="0" fontId="6" fillId="0" borderId="0" xfId="0" applyFont="1"/>
    <xf numFmtId="0" fontId="44" fillId="0" borderId="0" xfId="0" applyFont="1" applyAlignment="1">
      <alignment vertical="center"/>
    </xf>
    <xf numFmtId="0" fontId="54" fillId="0" borderId="0" xfId="0" applyFont="1" applyAlignment="1">
      <alignment vertical="center"/>
    </xf>
    <xf numFmtId="0" fontId="53" fillId="0" borderId="0" xfId="0" applyFont="1" applyAlignment="1">
      <alignment vertical="center"/>
    </xf>
    <xf numFmtId="0" fontId="44" fillId="0" borderId="0" xfId="0" applyFont="1" applyBorder="1" applyAlignment="1">
      <alignment horizontal="center" vertical="center" wrapText="1"/>
    </xf>
    <xf numFmtId="0" fontId="0" fillId="0" borderId="0" xfId="0" applyAlignment="1">
      <alignment horizontal="center"/>
    </xf>
    <xf numFmtId="0" fontId="56" fillId="0" borderId="0" xfId="0" applyFont="1" applyProtection="1"/>
    <xf numFmtId="0" fontId="56" fillId="0" borderId="0" xfId="0" applyFont="1" applyBorder="1" applyProtection="1"/>
    <xf numFmtId="0" fontId="45" fillId="23" borderId="0" xfId="17" applyProtection="1"/>
    <xf numFmtId="0" fontId="45" fillId="23" borderId="65" xfId="17" applyBorder="1" applyAlignment="1" applyProtection="1">
      <alignment horizontal="center" vertical="center" wrapText="1"/>
    </xf>
    <xf numFmtId="0" fontId="45" fillId="23" borderId="12" xfId="17" applyBorder="1" applyAlignment="1" applyProtection="1">
      <alignment horizontal="center" vertical="center" wrapText="1"/>
    </xf>
    <xf numFmtId="0" fontId="45" fillId="23" borderId="1" xfId="17" applyBorder="1" applyAlignment="1" applyProtection="1">
      <alignment horizontal="center"/>
    </xf>
    <xf numFmtId="0" fontId="15" fillId="7" borderId="0" xfId="0" applyFont="1" applyFill="1" applyProtection="1"/>
    <xf numFmtId="0" fontId="58" fillId="0" borderId="0" xfId="0" applyFont="1" applyAlignment="1">
      <alignment vertical="center" wrapText="1"/>
    </xf>
    <xf numFmtId="0" fontId="0" fillId="0" borderId="0" xfId="0" applyAlignment="1">
      <alignment horizontal="left" vertical="center" wrapText="1" indent="1"/>
    </xf>
    <xf numFmtId="0" fontId="59" fillId="0" borderId="0" xfId="0" applyFont="1" applyAlignment="1">
      <alignment horizontal="left" vertical="center" wrapText="1" indent="1"/>
    </xf>
    <xf numFmtId="167" fontId="4" fillId="6" borderId="0" xfId="3" applyNumberFormat="1" applyFont="1" applyFill="1" applyBorder="1" applyAlignment="1" applyProtection="1">
      <alignment horizontal="center"/>
    </xf>
    <xf numFmtId="1" fontId="5" fillId="10" borderId="1" xfId="0" applyNumberFormat="1" applyFont="1" applyFill="1" applyBorder="1" applyAlignment="1" applyProtection="1">
      <alignment horizontal="center"/>
      <protection locked="0"/>
    </xf>
    <xf numFmtId="0" fontId="17" fillId="10" borderId="13" xfId="4" applyFont="1" applyFill="1" applyBorder="1" applyAlignment="1" applyProtection="1">
      <protection locked="0"/>
    </xf>
    <xf numFmtId="0" fontId="2" fillId="15" borderId="9" xfId="0" applyFont="1" applyFill="1" applyBorder="1" applyAlignment="1" applyProtection="1">
      <alignment horizontal="center"/>
    </xf>
    <xf numFmtId="0" fontId="17" fillId="10" borderId="38" xfId="4" applyFont="1" applyFill="1" applyBorder="1" applyAlignment="1" applyProtection="1">
      <protection locked="0"/>
    </xf>
    <xf numFmtId="16" fontId="17" fillId="10" borderId="8" xfId="4" applyNumberFormat="1" applyFont="1" applyFill="1" applyBorder="1" applyAlignment="1" applyProtection="1">
      <protection locked="0"/>
    </xf>
    <xf numFmtId="164" fontId="17" fillId="10" borderId="1" xfId="14" applyNumberFormat="1" applyFont="1" applyFill="1" applyBorder="1" applyAlignment="1" applyProtection="1">
      <alignment horizontal="center"/>
      <protection locked="0"/>
    </xf>
    <xf numFmtId="0" fontId="26" fillId="0" borderId="1" xfId="0" applyFont="1" applyBorder="1" applyProtection="1"/>
    <xf numFmtId="0" fontId="2" fillId="15" borderId="1" xfId="0" applyFont="1" applyFill="1" applyBorder="1" applyAlignment="1" applyProtection="1">
      <alignment horizontal="center"/>
    </xf>
    <xf numFmtId="0" fontId="63" fillId="16" borderId="45" xfId="4" applyFont="1" applyFill="1" applyBorder="1" applyAlignment="1" applyProtection="1">
      <alignment horizontal="left" vertical="top"/>
    </xf>
    <xf numFmtId="0" fontId="63" fillId="16" borderId="46" xfId="4" applyFont="1" applyFill="1" applyBorder="1" applyAlignment="1" applyProtection="1">
      <alignment horizontal="left"/>
    </xf>
    <xf numFmtId="0" fontId="64" fillId="16" borderId="57" xfId="4" applyFont="1" applyFill="1" applyBorder="1" applyAlignment="1" applyProtection="1">
      <alignment horizontal="left"/>
    </xf>
    <xf numFmtId="0" fontId="64" fillId="17" borderId="47" xfId="4" applyFont="1" applyFill="1" applyBorder="1" applyAlignment="1" applyProtection="1">
      <alignment horizontal="left" vertical="top"/>
    </xf>
    <xf numFmtId="0" fontId="64" fillId="25" borderId="1" xfId="4" applyFont="1" applyFill="1" applyBorder="1" applyAlignment="1" applyProtection="1">
      <alignment horizontal="left" wrapText="1"/>
      <protection locked="0"/>
    </xf>
    <xf numFmtId="0" fontId="64" fillId="25" borderId="1" xfId="4" applyFont="1" applyFill="1" applyBorder="1" applyAlignment="1" applyProtection="1">
      <alignment horizontal="center" wrapText="1"/>
      <protection locked="0"/>
    </xf>
    <xf numFmtId="0" fontId="63" fillId="16" borderId="48" xfId="4" applyFont="1" applyFill="1" applyBorder="1" applyAlignment="1" applyProtection="1">
      <alignment horizontal="left" wrapText="1"/>
    </xf>
    <xf numFmtId="0" fontId="64" fillId="18" borderId="58" xfId="4" applyFont="1" applyFill="1" applyBorder="1" applyAlignment="1" applyProtection="1">
      <alignment horizontal="left" wrapText="1"/>
    </xf>
    <xf numFmtId="0" fontId="63" fillId="16" borderId="50" xfId="4" applyFont="1" applyFill="1" applyBorder="1" applyAlignment="1" applyProtection="1">
      <alignment horizontal="left" wrapText="1"/>
    </xf>
    <xf numFmtId="0" fontId="64" fillId="17" borderId="49" xfId="4" applyFont="1" applyFill="1" applyBorder="1" applyAlignment="1" applyProtection="1">
      <alignment horizontal="left" vertical="top"/>
    </xf>
    <xf numFmtId="0" fontId="63" fillId="16" borderId="50" xfId="4" applyFont="1" applyFill="1" applyBorder="1" applyAlignment="1" applyProtection="1">
      <alignment horizontal="center" wrapText="1"/>
    </xf>
    <xf numFmtId="0" fontId="64" fillId="19" borderId="1" xfId="4" applyFont="1" applyFill="1" applyBorder="1" applyAlignment="1" applyProtection="1">
      <alignment horizontal="center" wrapText="1"/>
    </xf>
    <xf numFmtId="164" fontId="64" fillId="19" borderId="1" xfId="4" applyNumberFormat="1" applyFont="1" applyFill="1" applyBorder="1" applyAlignment="1" applyProtection="1">
      <alignment horizontal="center" wrapText="1"/>
    </xf>
    <xf numFmtId="1" fontId="64" fillId="19" borderId="1" xfId="4" applyNumberFormat="1" applyFont="1" applyFill="1" applyBorder="1" applyAlignment="1" applyProtection="1">
      <alignment horizontal="center" wrapText="1"/>
    </xf>
    <xf numFmtId="0" fontId="64" fillId="20" borderId="1" xfId="4" applyFont="1" applyFill="1" applyBorder="1" applyAlignment="1" applyProtection="1">
      <alignment horizontal="center" wrapText="1"/>
    </xf>
    <xf numFmtId="9" fontId="64" fillId="19" borderId="1" xfId="4" applyNumberFormat="1" applyFont="1" applyFill="1" applyBorder="1" applyAlignment="1" applyProtection="1">
      <alignment horizontal="center" wrapText="1"/>
    </xf>
    <xf numFmtId="9" fontId="64" fillId="19" borderId="1" xfId="11" applyFont="1" applyFill="1" applyBorder="1" applyAlignment="1" applyProtection="1">
      <alignment horizontal="center" wrapText="1"/>
    </xf>
    <xf numFmtId="0" fontId="64" fillId="25" borderId="59" xfId="4" applyFont="1" applyFill="1" applyBorder="1" applyAlignment="1" applyProtection="1">
      <alignment horizontal="center" wrapText="1"/>
      <protection locked="0"/>
    </xf>
    <xf numFmtId="0" fontId="64" fillId="19" borderId="58" xfId="4" applyFont="1" applyFill="1" applyBorder="1" applyAlignment="1" applyProtection="1">
      <alignment horizontal="center" wrapText="1"/>
    </xf>
    <xf numFmtId="0" fontId="64" fillId="19" borderId="50" xfId="4" applyFont="1" applyFill="1" applyBorder="1" applyAlignment="1" applyProtection="1">
      <alignment horizontal="center" wrapText="1"/>
    </xf>
    <xf numFmtId="0" fontId="64" fillId="17" borderId="0" xfId="4" applyFont="1" applyFill="1" applyBorder="1" applyAlignment="1" applyProtection="1">
      <alignment wrapText="1"/>
    </xf>
    <xf numFmtId="0" fontId="64" fillId="17" borderId="51" xfId="4" applyFont="1" applyFill="1" applyBorder="1" applyAlignment="1" applyProtection="1">
      <alignment horizontal="left" vertical="top"/>
    </xf>
    <xf numFmtId="0" fontId="64" fillId="17" borderId="53" xfId="4" applyFont="1" applyFill="1" applyBorder="1" applyAlignment="1" applyProtection="1">
      <alignment horizontal="left" vertical="top"/>
    </xf>
    <xf numFmtId="0" fontId="64" fillId="17" borderId="54" xfId="4" applyFont="1" applyFill="1" applyBorder="1" applyAlignment="1" applyProtection="1">
      <alignment wrapText="1"/>
    </xf>
    <xf numFmtId="0" fontId="64" fillId="17" borderId="55" xfId="4" applyFont="1" applyFill="1" applyBorder="1" applyAlignment="1" applyProtection="1">
      <alignment horizontal="left" vertical="top"/>
    </xf>
    <xf numFmtId="0" fontId="64" fillId="17" borderId="56" xfId="4" applyFont="1" applyFill="1" applyBorder="1" applyAlignment="1" applyProtection="1">
      <alignment wrapText="1"/>
    </xf>
    <xf numFmtId="0" fontId="1" fillId="8" borderId="0" xfId="0" applyFont="1" applyFill="1" applyAlignment="1" applyProtection="1">
      <alignment horizontal="center" vertical="center" wrapText="1"/>
    </xf>
    <xf numFmtId="0" fontId="1" fillId="8" borderId="0" xfId="0" applyFont="1" applyFill="1" applyProtection="1"/>
    <xf numFmtId="0" fontId="66" fillId="0" borderId="0" xfId="0" applyFont="1" applyProtection="1"/>
    <xf numFmtId="0" fontId="66" fillId="0" borderId="0" xfId="0" applyFont="1" applyAlignment="1" applyProtection="1">
      <alignment horizontal="center" wrapText="1"/>
    </xf>
    <xf numFmtId="164" fontId="19" fillId="15" borderId="35" xfId="18" applyNumberFormat="1" applyFill="1" applyBorder="1" applyAlignment="1" applyProtection="1">
      <alignment horizontal="center"/>
    </xf>
    <xf numFmtId="0" fontId="2" fillId="10" borderId="66" xfId="0" applyFont="1" applyFill="1" applyBorder="1" applyAlignment="1" applyProtection="1">
      <alignment horizontal="center"/>
      <protection locked="0"/>
    </xf>
    <xf numFmtId="164" fontId="19" fillId="10" borderId="35" xfId="18" applyNumberFormat="1" applyFill="1" applyBorder="1" applyAlignment="1" applyProtection="1">
      <alignment horizontal="center"/>
      <protection locked="0"/>
    </xf>
    <xf numFmtId="44" fontId="3" fillId="15" borderId="35" xfId="13" applyFont="1" applyFill="1" applyBorder="1" applyAlignment="1" applyProtection="1">
      <alignment horizontal="center"/>
    </xf>
    <xf numFmtId="165" fontId="19" fillId="15" borderId="35" xfId="11" applyNumberFormat="1" applyFill="1" applyBorder="1" applyAlignment="1" applyProtection="1">
      <alignment horizontal="center"/>
    </xf>
    <xf numFmtId="0" fontId="22" fillId="8" borderId="0" xfId="0" applyFont="1" applyFill="1" applyBorder="1" applyAlignment="1" applyProtection="1">
      <alignment horizontal="left"/>
    </xf>
    <xf numFmtId="0" fontId="2" fillId="8" borderId="5" xfId="0" applyFont="1" applyFill="1" applyBorder="1" applyProtection="1"/>
    <xf numFmtId="0" fontId="2" fillId="8" borderId="3" xfId="0" applyFont="1" applyFill="1" applyBorder="1" applyAlignment="1" applyProtection="1">
      <alignment horizontal="center"/>
    </xf>
    <xf numFmtId="0" fontId="23" fillId="8" borderId="3" xfId="1" applyFont="1" applyFill="1" applyBorder="1" applyAlignment="1" applyProtection="1">
      <alignment horizontal="left"/>
    </xf>
    <xf numFmtId="0" fontId="27" fillId="8" borderId="3" xfId="3" applyFont="1" applyFill="1" applyBorder="1" applyAlignment="1" applyProtection="1">
      <alignment horizontal="center"/>
      <protection locked="0"/>
    </xf>
    <xf numFmtId="0" fontId="2" fillId="8" borderId="3" xfId="0" applyFont="1" applyFill="1" applyBorder="1" applyAlignment="1" applyProtection="1">
      <alignment horizontal="left" vertical="top"/>
    </xf>
    <xf numFmtId="0" fontId="6" fillId="8" borderId="10" xfId="0" applyFont="1" applyFill="1" applyBorder="1" applyAlignment="1" applyProtection="1"/>
    <xf numFmtId="0" fontId="2" fillId="8" borderId="0" xfId="0" applyFont="1" applyFill="1" applyBorder="1" applyAlignment="1" applyProtection="1">
      <alignment horizontal="center"/>
    </xf>
    <xf numFmtId="0" fontId="23" fillId="8" borderId="0" xfId="1" applyFont="1" applyFill="1" applyBorder="1" applyAlignment="1" applyProtection="1">
      <alignment horizontal="left"/>
    </xf>
    <xf numFmtId="0" fontId="18" fillId="8" borderId="10" xfId="1" applyFont="1" applyFill="1" applyBorder="1" applyAlignment="1" applyProtection="1"/>
    <xf numFmtId="0" fontId="2" fillId="8" borderId="10" xfId="0" applyFont="1" applyFill="1" applyBorder="1" applyAlignment="1" applyProtection="1">
      <alignment horizontal="left"/>
    </xf>
    <xf numFmtId="0" fontId="2" fillId="8" borderId="10" xfId="0" applyFont="1" applyFill="1" applyBorder="1" applyProtection="1"/>
    <xf numFmtId="0" fontId="2" fillId="8" borderId="0" xfId="0" applyFont="1" applyFill="1" applyBorder="1" applyAlignment="1" applyProtection="1">
      <alignment horizontal="left"/>
    </xf>
    <xf numFmtId="0" fontId="6" fillId="8" borderId="0" xfId="0" applyFont="1" applyFill="1" applyBorder="1" applyAlignment="1" applyProtection="1">
      <alignment vertical="center"/>
    </xf>
    <xf numFmtId="0" fontId="17" fillId="8" borderId="44" xfId="0" applyFont="1" applyFill="1" applyBorder="1" applyProtection="1">
      <protection locked="0"/>
    </xf>
    <xf numFmtId="0" fontId="24" fillId="8" borderId="30" xfId="0" applyFont="1" applyFill="1" applyBorder="1" applyProtection="1">
      <protection locked="0"/>
    </xf>
    <xf numFmtId="0" fontId="17" fillId="8" borderId="10" xfId="0" applyFont="1" applyFill="1" applyBorder="1" applyProtection="1">
      <protection locked="0"/>
    </xf>
    <xf numFmtId="0" fontId="24" fillId="8" borderId="0" xfId="0" applyFont="1" applyFill="1" applyBorder="1" applyProtection="1">
      <protection locked="0"/>
    </xf>
    <xf numFmtId="0" fontId="17" fillId="8" borderId="7" xfId="0" applyFont="1" applyFill="1" applyBorder="1" applyProtection="1">
      <protection locked="0"/>
    </xf>
    <xf numFmtId="0" fontId="24" fillId="8" borderId="8" xfId="0" applyFont="1" applyFill="1" applyBorder="1" applyProtection="1">
      <protection locked="0"/>
    </xf>
    <xf numFmtId="0" fontId="21" fillId="8" borderId="5" xfId="0" applyFont="1" applyFill="1" applyBorder="1" applyProtection="1"/>
    <xf numFmtId="0" fontId="24" fillId="8" borderId="5" xfId="0" applyFont="1" applyFill="1" applyBorder="1" applyProtection="1"/>
    <xf numFmtId="0" fontId="24" fillId="8" borderId="0" xfId="0" applyFont="1" applyFill="1" applyBorder="1" applyProtection="1"/>
    <xf numFmtId="0" fontId="24" fillId="8" borderId="3" xfId="0" applyFont="1" applyFill="1" applyBorder="1" applyProtection="1"/>
    <xf numFmtId="0" fontId="24" fillId="8" borderId="14" xfId="0" applyFont="1" applyFill="1" applyBorder="1" applyProtection="1"/>
    <xf numFmtId="0" fontId="24" fillId="8" borderId="68" xfId="0" applyFont="1" applyFill="1" applyBorder="1" applyProtection="1"/>
    <xf numFmtId="0" fontId="17" fillId="8" borderId="0" xfId="0" applyFont="1" applyFill="1" applyBorder="1" applyProtection="1">
      <protection locked="0"/>
    </xf>
    <xf numFmtId="0" fontId="2" fillId="8" borderId="0" xfId="0" applyFont="1" applyFill="1" applyBorder="1" applyProtection="1"/>
    <xf numFmtId="0" fontId="2" fillId="8" borderId="10" xfId="0" applyFont="1" applyFill="1" applyBorder="1" applyAlignment="1" applyProtection="1"/>
    <xf numFmtId="0" fontId="20" fillId="8" borderId="10" xfId="0" applyFont="1" applyFill="1" applyBorder="1" applyProtection="1"/>
    <xf numFmtId="0" fontId="2" fillId="8" borderId="25" xfId="0" applyFont="1" applyFill="1" applyBorder="1" applyAlignment="1" applyProtection="1">
      <alignment horizontal="center"/>
    </xf>
    <xf numFmtId="0" fontId="2" fillId="8" borderId="5" xfId="0" applyFont="1" applyFill="1" applyBorder="1" applyAlignment="1" applyProtection="1">
      <alignment horizontal="center"/>
    </xf>
    <xf numFmtId="0" fontId="2" fillId="8" borderId="5" xfId="0" applyFont="1" applyFill="1" applyBorder="1" applyAlignment="1" applyProtection="1">
      <alignment horizontal="center" vertical="center"/>
    </xf>
    <xf numFmtId="0" fontId="2" fillId="8" borderId="6" xfId="0" applyFont="1" applyFill="1" applyBorder="1" applyAlignment="1" applyProtection="1">
      <alignment horizontal="center"/>
    </xf>
    <xf numFmtId="0" fontId="2" fillId="8" borderId="0" xfId="0" applyFont="1" applyFill="1" applyBorder="1" applyAlignment="1" applyProtection="1"/>
    <xf numFmtId="0" fontId="5" fillId="8" borderId="0" xfId="0" applyFont="1" applyFill="1" applyBorder="1" applyAlignment="1" applyProtection="1">
      <alignment horizontal="center" vertical="center"/>
    </xf>
    <xf numFmtId="0" fontId="2" fillId="8" borderId="3" xfId="0" applyFont="1" applyFill="1" applyBorder="1" applyProtection="1"/>
    <xf numFmtId="0" fontId="5" fillId="8" borderId="0" xfId="0" applyFont="1" applyFill="1" applyBorder="1" applyAlignment="1" applyProtection="1">
      <alignment horizontal="left"/>
    </xf>
    <xf numFmtId="0" fontId="4" fillId="8" borderId="0" xfId="1" applyFont="1" applyFill="1" applyBorder="1" applyAlignment="1" applyProtection="1">
      <alignment horizontal="left" indent="2"/>
    </xf>
    <xf numFmtId="0" fontId="5" fillId="8" borderId="0" xfId="0" applyFont="1" applyFill="1" applyBorder="1" applyAlignment="1" applyProtection="1">
      <alignment horizontal="right" vertical="center"/>
    </xf>
    <xf numFmtId="0" fontId="2" fillId="8" borderId="3" xfId="0" applyFont="1" applyFill="1" applyBorder="1" applyAlignment="1" applyProtection="1">
      <alignment horizontal="left"/>
    </xf>
    <xf numFmtId="0" fontId="5" fillId="8" borderId="3" xfId="0" applyFont="1" applyFill="1" applyBorder="1" applyProtection="1"/>
    <xf numFmtId="0" fontId="2" fillId="8" borderId="9" xfId="0" applyFont="1" applyFill="1" applyBorder="1" applyProtection="1"/>
    <xf numFmtId="0" fontId="2" fillId="8" borderId="0" xfId="0" applyFont="1" applyFill="1" applyBorder="1" applyProtection="1">
      <protection locked="0"/>
    </xf>
    <xf numFmtId="0" fontId="2" fillId="8" borderId="8" xfId="0" applyFont="1" applyFill="1" applyBorder="1" applyProtection="1"/>
    <xf numFmtId="0" fontId="3" fillId="8" borderId="0" xfId="1" applyFont="1" applyFill="1" applyBorder="1" applyAlignment="1" applyProtection="1">
      <alignment horizontal="left" indent="2"/>
    </xf>
    <xf numFmtId="1" fontId="7" fillId="8" borderId="0" xfId="2" applyNumberFormat="1" applyFont="1" applyFill="1" applyBorder="1" applyAlignment="1" applyProtection="1">
      <alignment horizontal="center"/>
      <protection locked="0"/>
    </xf>
    <xf numFmtId="164" fontId="5" fillId="15" borderId="1" xfId="14" applyNumberFormat="1" applyFont="1" applyFill="1" applyBorder="1" applyAlignment="1" applyProtection="1">
      <alignment horizontal="center"/>
    </xf>
    <xf numFmtId="164" fontId="2" fillId="15" borderId="35" xfId="14" applyNumberFormat="1" applyFont="1" applyFill="1" applyBorder="1" applyAlignment="1" applyProtection="1">
      <alignment horizontal="center"/>
    </xf>
    <xf numFmtId="1" fontId="2" fillId="15" borderId="1" xfId="14" applyNumberFormat="1" applyFont="1" applyFill="1" applyBorder="1" applyAlignment="1" applyProtection="1">
      <alignment horizontal="center"/>
    </xf>
    <xf numFmtId="164" fontId="2" fillId="15" borderId="1" xfId="14" applyNumberFormat="1" applyFont="1" applyFill="1" applyBorder="1" applyAlignment="1" applyProtection="1">
      <alignment horizontal="center"/>
    </xf>
    <xf numFmtId="1" fontId="2" fillId="15" borderId="35" xfId="14" applyNumberFormat="1" applyFont="1" applyFill="1" applyBorder="1" applyAlignment="1" applyProtection="1">
      <alignment horizontal="center"/>
    </xf>
    <xf numFmtId="1" fontId="5" fillId="15" borderId="35" xfId="14" applyNumberFormat="1" applyFont="1" applyFill="1" applyBorder="1" applyAlignment="1" applyProtection="1">
      <alignment horizontal="center"/>
    </xf>
    <xf numFmtId="1" fontId="5" fillId="15" borderId="20" xfId="14" applyNumberFormat="1" applyFont="1" applyFill="1" applyBorder="1" applyAlignment="1" applyProtection="1">
      <alignment horizontal="center"/>
    </xf>
    <xf numFmtId="1" fontId="5" fillId="15" borderId="1" xfId="14" applyNumberFormat="1" applyFont="1" applyFill="1" applyBorder="1" applyAlignment="1" applyProtection="1">
      <alignment horizontal="center"/>
    </xf>
    <xf numFmtId="2" fontId="2" fillId="15" borderId="1" xfId="14" applyNumberFormat="1" applyFont="1" applyFill="1" applyBorder="1" applyAlignment="1" applyProtection="1">
      <alignment horizontal="center"/>
    </xf>
    <xf numFmtId="164" fontId="5" fillId="15" borderId="35" xfId="14" applyNumberFormat="1" applyFont="1" applyFill="1" applyBorder="1" applyAlignment="1" applyProtection="1">
      <alignment horizontal="center"/>
    </xf>
    <xf numFmtId="0" fontId="2" fillId="8" borderId="4" xfId="0" applyFont="1" applyFill="1" applyBorder="1" applyProtection="1"/>
    <xf numFmtId="0" fontId="68" fillId="8" borderId="0" xfId="0" applyFont="1" applyFill="1" applyBorder="1" applyAlignment="1" applyProtection="1">
      <alignment horizontal="left"/>
    </xf>
    <xf numFmtId="0" fontId="0" fillId="8" borderId="0" xfId="0" applyFill="1" applyBorder="1" applyProtection="1"/>
    <xf numFmtId="0" fontId="26" fillId="8" borderId="0" xfId="0" applyFont="1" applyFill="1" applyProtection="1"/>
    <xf numFmtId="0" fontId="0" fillId="8" borderId="0" xfId="0" applyFill="1" applyProtection="1"/>
    <xf numFmtId="0" fontId="2" fillId="8" borderId="10" xfId="0" applyFont="1" applyFill="1" applyBorder="1" applyAlignment="1" applyProtection="1">
      <alignment horizontal="right"/>
    </xf>
    <xf numFmtId="0" fontId="2" fillId="8" borderId="10" xfId="0" applyFont="1" applyFill="1" applyBorder="1" applyAlignment="1" applyProtection="1">
      <alignment horizontal="center"/>
    </xf>
    <xf numFmtId="0" fontId="0" fillId="8" borderId="10" xfId="0" applyFill="1" applyBorder="1" applyProtection="1"/>
    <xf numFmtId="0" fontId="17" fillId="8" borderId="0" xfId="7" applyFont="1" applyFill="1" applyBorder="1" applyAlignment="1" applyProtection="1">
      <alignment horizontal="right" vertical="top"/>
    </xf>
    <xf numFmtId="0" fontId="0" fillId="8" borderId="0" xfId="0" applyFill="1" applyBorder="1" applyAlignment="1" applyProtection="1">
      <alignment horizontal="right"/>
    </xf>
    <xf numFmtId="0" fontId="2" fillId="8" borderId="0" xfId="0" applyFont="1" applyFill="1" applyBorder="1" applyAlignment="1" applyProtection="1">
      <alignment horizontal="right"/>
    </xf>
    <xf numFmtId="0" fontId="2" fillId="8" borderId="0" xfId="0" applyFont="1" applyFill="1" applyBorder="1" applyAlignment="1" applyProtection="1">
      <alignment horizontal="left" vertical="top"/>
    </xf>
    <xf numFmtId="0" fontId="67" fillId="8" borderId="0" xfId="0" applyFont="1" applyFill="1" applyBorder="1" applyProtection="1"/>
    <xf numFmtId="0" fontId="26" fillId="8" borderId="0" xfId="0" applyFont="1" applyFill="1" applyBorder="1" applyProtection="1"/>
    <xf numFmtId="0" fontId="17" fillId="8" borderId="0" xfId="7" applyFont="1" applyFill="1" applyBorder="1" applyProtection="1"/>
    <xf numFmtId="0" fontId="7" fillId="8" borderId="0" xfId="7" applyFont="1" applyFill="1" applyBorder="1" applyProtection="1"/>
    <xf numFmtId="0" fontId="17" fillId="8" borderId="10" xfId="7" applyFont="1" applyFill="1" applyBorder="1" applyProtection="1"/>
    <xf numFmtId="0" fontId="45" fillId="8" borderId="10" xfId="17" applyFill="1" applyBorder="1" applyProtection="1"/>
    <xf numFmtId="0" fontId="45" fillId="8" borderId="0" xfId="17" applyFill="1" applyBorder="1" applyProtection="1"/>
    <xf numFmtId="0" fontId="36" fillId="8" borderId="0" xfId="7" applyFont="1" applyFill="1" applyBorder="1" applyProtection="1"/>
    <xf numFmtId="0" fontId="17" fillId="8" borderId="0" xfId="7" applyFont="1" applyFill="1" applyBorder="1" applyAlignment="1" applyProtection="1">
      <alignment horizontal="center" vertical="center"/>
    </xf>
    <xf numFmtId="0" fontId="17" fillId="8" borderId="0" xfId="7" applyFont="1" applyFill="1" applyBorder="1" applyAlignment="1" applyProtection="1">
      <alignment vertical="center" wrapText="1"/>
    </xf>
    <xf numFmtId="0" fontId="17" fillId="8" borderId="0" xfId="7" applyFont="1" applyFill="1" applyBorder="1" applyAlignment="1" applyProtection="1">
      <alignment horizontal="right"/>
    </xf>
    <xf numFmtId="164" fontId="45" fillId="8" borderId="1" xfId="17" applyNumberFormat="1" applyFill="1" applyBorder="1" applyAlignment="1" applyProtection="1">
      <alignment horizontal="center"/>
    </xf>
    <xf numFmtId="0" fontId="47" fillId="8" borderId="0" xfId="0" applyFont="1" applyFill="1" applyBorder="1" applyAlignment="1" applyProtection="1">
      <alignment horizontal="left" vertical="top"/>
    </xf>
    <xf numFmtId="0" fontId="47" fillId="8" borderId="8" xfId="0" applyFont="1" applyFill="1" applyBorder="1" applyAlignment="1" applyProtection="1">
      <alignment horizontal="left" vertical="top"/>
    </xf>
    <xf numFmtId="0" fontId="45" fillId="8" borderId="0" xfId="17" applyFill="1" applyBorder="1" applyAlignment="1" applyProtection="1">
      <alignment horizontal="right" vertical="center"/>
    </xf>
    <xf numFmtId="0" fontId="6" fillId="8" borderId="0" xfId="0" applyFont="1" applyFill="1" applyBorder="1" applyAlignment="1" applyProtection="1">
      <alignment vertical="top"/>
    </xf>
    <xf numFmtId="0" fontId="17" fillId="8" borderId="0" xfId="7" applyFont="1" applyFill="1" applyBorder="1" applyAlignment="1" applyProtection="1">
      <alignment horizontal="left" vertical="center"/>
    </xf>
    <xf numFmtId="0" fontId="17" fillId="8" borderId="0" xfId="7" applyFont="1" applyFill="1" applyBorder="1" applyAlignment="1" applyProtection="1">
      <alignment horizontal="right" vertical="center"/>
    </xf>
    <xf numFmtId="0" fontId="17" fillId="8" borderId="8" xfId="7" applyFont="1" applyFill="1" applyBorder="1" applyProtection="1"/>
    <xf numFmtId="164" fontId="17" fillId="15" borderId="1" xfId="7" applyNumberFormat="1" applyFont="1" applyFill="1" applyBorder="1" applyAlignment="1" applyProtection="1">
      <alignment horizontal="center" vertical="center"/>
    </xf>
    <xf numFmtId="0" fontId="17" fillId="15" borderId="1" xfId="7" applyFont="1" applyFill="1" applyBorder="1" applyAlignment="1" applyProtection="1">
      <alignment horizontal="center" vertical="center"/>
    </xf>
    <xf numFmtId="9" fontId="17" fillId="15" borderId="1" xfId="11" applyFont="1" applyFill="1" applyBorder="1" applyAlignment="1" applyProtection="1">
      <alignment horizontal="center" vertical="center"/>
    </xf>
    <xf numFmtId="164" fontId="7" fillId="15" borderId="1" xfId="7" applyNumberFormat="1" applyFont="1" applyFill="1" applyBorder="1" applyAlignment="1" applyProtection="1">
      <alignment horizontal="center" vertical="center"/>
    </xf>
    <xf numFmtId="0" fontId="15" fillId="15" borderId="1" xfId="0" applyFont="1" applyFill="1" applyBorder="1" applyProtection="1"/>
    <xf numFmtId="0" fontId="7" fillId="15" borderId="1" xfId="2" applyFont="1" applyFill="1" applyBorder="1" applyAlignment="1" applyProtection="1">
      <alignment horizontal="center"/>
    </xf>
    <xf numFmtId="1" fontId="7" fillId="15" borderId="1" xfId="7" applyNumberFormat="1" applyFont="1" applyFill="1" applyBorder="1" applyAlignment="1" applyProtection="1">
      <alignment horizontal="center" vertical="center"/>
    </xf>
    <xf numFmtId="0" fontId="6" fillId="8" borderId="0" xfId="0" applyFont="1" applyFill="1" applyBorder="1" applyAlignment="1" applyProtection="1">
      <alignment horizontal="center"/>
    </xf>
    <xf numFmtId="0" fontId="64" fillId="20" borderId="59" xfId="4" applyFont="1" applyFill="1" applyBorder="1" applyAlignment="1" applyProtection="1">
      <alignment horizontal="center" wrapText="1"/>
    </xf>
    <xf numFmtId="0" fontId="51" fillId="8" borderId="35" xfId="0" applyFont="1" applyFill="1" applyBorder="1" applyAlignment="1">
      <alignment vertical="center" wrapText="1"/>
    </xf>
    <xf numFmtId="0" fontId="51" fillId="8" borderId="71" xfId="0" applyFont="1" applyFill="1" applyBorder="1" applyAlignment="1">
      <alignment vertical="center" wrapText="1"/>
    </xf>
    <xf numFmtId="0" fontId="51" fillId="8" borderId="75" xfId="0" applyFont="1" applyFill="1" applyBorder="1" applyAlignment="1">
      <alignment vertical="center" wrapText="1"/>
    </xf>
    <xf numFmtId="0" fontId="51" fillId="8" borderId="74" xfId="0" applyFont="1" applyFill="1" applyBorder="1" applyAlignment="1">
      <alignment vertical="center" wrapText="1"/>
    </xf>
    <xf numFmtId="0" fontId="44" fillId="8" borderId="36" xfId="0" applyFont="1" applyFill="1" applyBorder="1" applyAlignment="1">
      <alignment vertical="center" wrapText="1"/>
    </xf>
    <xf numFmtId="0" fontId="44" fillId="8" borderId="71" xfId="0" applyFont="1" applyFill="1" applyBorder="1" applyAlignment="1">
      <alignment vertical="center" wrapText="1"/>
    </xf>
    <xf numFmtId="0" fontId="52" fillId="8" borderId="9" xfId="0" applyFont="1" applyFill="1" applyBorder="1" applyAlignment="1">
      <alignment vertical="center" wrapText="1"/>
    </xf>
    <xf numFmtId="0" fontId="52" fillId="8" borderId="40" xfId="0" applyFont="1" applyFill="1" applyBorder="1" applyAlignment="1">
      <alignment vertical="center" wrapText="1"/>
    </xf>
    <xf numFmtId="0" fontId="51" fillId="8" borderId="40" xfId="0" applyFont="1" applyFill="1" applyBorder="1" applyAlignment="1">
      <alignment vertical="center" wrapText="1"/>
    </xf>
    <xf numFmtId="0" fontId="55" fillId="8" borderId="9" xfId="0" applyFont="1" applyFill="1" applyBorder="1" applyAlignment="1">
      <alignment vertical="center" wrapText="1"/>
    </xf>
    <xf numFmtId="0" fontId="17" fillId="8" borderId="35" xfId="1" applyFont="1" applyFill="1" applyBorder="1" applyAlignment="1" applyProtection="1">
      <alignment horizontal="center"/>
    </xf>
    <xf numFmtId="9" fontId="44" fillId="15" borderId="39" xfId="11" applyFont="1" applyFill="1" applyBorder="1" applyAlignment="1">
      <alignment horizontal="center" wrapText="1"/>
    </xf>
    <xf numFmtId="9" fontId="44" fillId="15" borderId="39" xfId="0" applyNumberFormat="1" applyFont="1" applyFill="1" applyBorder="1" applyAlignment="1">
      <alignment horizontal="center" wrapText="1"/>
    </xf>
    <xf numFmtId="1" fontId="0" fillId="15" borderId="35" xfId="0" applyNumberFormat="1" applyFill="1" applyBorder="1" applyAlignment="1">
      <alignment horizontal="center" vertical="center"/>
    </xf>
    <xf numFmtId="0" fontId="51" fillId="15" borderId="35" xfId="0" applyFont="1" applyFill="1" applyBorder="1" applyAlignment="1">
      <alignment horizontal="center" vertical="center" wrapText="1"/>
    </xf>
    <xf numFmtId="2" fontId="0" fillId="15" borderId="35" xfId="0" applyNumberFormat="1" applyFill="1" applyBorder="1" applyAlignment="1">
      <alignment horizontal="center" vertical="center"/>
    </xf>
    <xf numFmtId="44" fontId="44" fillId="15" borderId="35" xfId="13" applyFont="1" applyFill="1" applyBorder="1" applyAlignment="1">
      <alignment horizontal="left" vertical="center" wrapText="1"/>
    </xf>
    <xf numFmtId="164" fontId="0" fillId="15" borderId="35" xfId="0" applyNumberFormat="1" applyFill="1" applyBorder="1" applyAlignment="1">
      <alignment horizontal="center" vertical="center"/>
    </xf>
    <xf numFmtId="44" fontId="44" fillId="15" borderId="9" xfId="0" applyNumberFormat="1" applyFont="1" applyFill="1" applyBorder="1" applyAlignment="1" applyProtection="1">
      <alignment vertical="center" wrapText="1"/>
      <protection locked="0"/>
    </xf>
    <xf numFmtId="44" fontId="44" fillId="15" borderId="9" xfId="0" applyNumberFormat="1" applyFont="1" applyFill="1" applyBorder="1" applyAlignment="1">
      <alignment vertical="center" wrapText="1"/>
    </xf>
    <xf numFmtId="44" fontId="44" fillId="15" borderId="9" xfId="13" applyFont="1" applyFill="1" applyBorder="1" applyAlignment="1">
      <alignment vertical="center" wrapText="1"/>
    </xf>
    <xf numFmtId="44" fontId="44" fillId="15" borderId="40" xfId="13" applyFont="1" applyFill="1" applyBorder="1" applyAlignment="1">
      <alignment vertical="center" wrapText="1"/>
    </xf>
    <xf numFmtId="0" fontId="51" fillId="15" borderId="40" xfId="0" applyFont="1" applyFill="1" applyBorder="1" applyAlignment="1">
      <alignment horizontal="center" vertical="center" wrapText="1"/>
    </xf>
    <xf numFmtId="1" fontId="44" fillId="15" borderId="40" xfId="0" applyNumberFormat="1" applyFont="1" applyFill="1" applyBorder="1" applyAlignment="1">
      <alignment horizontal="center" vertical="center" wrapText="1"/>
    </xf>
    <xf numFmtId="0" fontId="51" fillId="15" borderId="9" xfId="0" applyFont="1" applyFill="1" applyBorder="1" applyAlignment="1">
      <alignment horizontal="center" vertical="center" wrapText="1"/>
    </xf>
    <xf numFmtId="44" fontId="44" fillId="15" borderId="9" xfId="0" applyNumberFormat="1" applyFont="1" applyFill="1" applyBorder="1" applyAlignment="1">
      <alignment horizontal="center" vertical="center" wrapText="1"/>
    </xf>
    <xf numFmtId="44" fontId="44" fillId="15" borderId="35" xfId="0" applyNumberFormat="1" applyFont="1" applyFill="1" applyBorder="1" applyAlignment="1">
      <alignment horizontal="center" vertical="center" wrapText="1"/>
    </xf>
    <xf numFmtId="1" fontId="44" fillId="15" borderId="9" xfId="0" applyNumberFormat="1" applyFont="1" applyFill="1" applyBorder="1" applyAlignment="1">
      <alignment horizontal="center" vertical="center" wrapText="1"/>
    </xf>
    <xf numFmtId="44" fontId="44" fillId="15" borderId="9" xfId="13" applyFont="1" applyFill="1" applyBorder="1" applyAlignment="1">
      <alignment horizontal="center" vertical="center" wrapText="1"/>
    </xf>
    <xf numFmtId="0" fontId="44" fillId="15" borderId="40" xfId="0" applyNumberFormat="1" applyFont="1" applyFill="1" applyBorder="1" applyAlignment="1">
      <alignment horizontal="center" vertical="center" wrapText="1"/>
    </xf>
    <xf numFmtId="1" fontId="52" fillId="15" borderId="35" xfId="0" applyNumberFormat="1" applyFont="1" applyFill="1" applyBorder="1" applyAlignment="1">
      <alignment horizontal="center" vertical="center" wrapText="1"/>
    </xf>
    <xf numFmtId="0" fontId="52" fillId="15" borderId="35" xfId="0" applyFont="1" applyFill="1" applyBorder="1" applyAlignment="1">
      <alignment horizontal="center" vertical="center" wrapText="1"/>
    </xf>
    <xf numFmtId="0" fontId="51" fillId="10" borderId="9" xfId="0" applyFont="1" applyFill="1" applyBorder="1" applyAlignment="1">
      <alignment horizontal="center" vertical="center" wrapText="1"/>
    </xf>
    <xf numFmtId="0" fontId="17" fillId="8" borderId="0" xfId="0" applyFont="1" applyFill="1" applyBorder="1" applyAlignment="1" applyProtection="1">
      <alignment horizontal="center"/>
    </xf>
    <xf numFmtId="0" fontId="62" fillId="8" borderId="0" xfId="0" applyFont="1" applyFill="1" applyBorder="1" applyAlignment="1" applyProtection="1">
      <alignment horizontal="left" vertical="center"/>
    </xf>
    <xf numFmtId="0" fontId="27" fillId="8" borderId="0" xfId="0" applyFont="1" applyFill="1" applyBorder="1" applyAlignment="1" applyProtection="1">
      <alignment horizontal="center"/>
    </xf>
    <xf numFmtId="0" fontId="5" fillId="8" borderId="3" xfId="0" applyFont="1" applyFill="1" applyBorder="1" applyAlignment="1" applyProtection="1">
      <alignment horizontal="center" vertical="center"/>
    </xf>
    <xf numFmtId="0" fontId="2" fillId="8" borderId="32" xfId="0" applyFont="1" applyFill="1" applyBorder="1" applyProtection="1"/>
    <xf numFmtId="0" fontId="5" fillId="8" borderId="0" xfId="0" applyFont="1" applyFill="1" applyBorder="1" applyAlignment="1" applyProtection="1">
      <alignment horizontal="left" vertical="center"/>
    </xf>
    <xf numFmtId="0" fontId="2" fillId="8" borderId="3" xfId="0" applyFont="1" applyFill="1" applyBorder="1" applyAlignment="1" applyProtection="1">
      <alignment horizontal="center" vertical="top"/>
    </xf>
    <xf numFmtId="164" fontId="3" fillId="8" borderId="0" xfId="0" applyNumberFormat="1" applyFont="1" applyFill="1" applyBorder="1" applyAlignment="1" applyProtection="1">
      <alignment horizontal="center"/>
    </xf>
    <xf numFmtId="0" fontId="3" fillId="8" borderId="0" xfId="0" applyFont="1" applyFill="1" applyBorder="1" applyAlignment="1" applyProtection="1">
      <alignment horizontal="center"/>
    </xf>
    <xf numFmtId="0" fontId="21" fillId="8" borderId="6" xfId="0" applyFont="1" applyFill="1" applyBorder="1" applyProtection="1"/>
    <xf numFmtId="0" fontId="69" fillId="10" borderId="4" xfId="0" applyFont="1" applyFill="1" applyBorder="1" applyProtection="1">
      <protection locked="0"/>
    </xf>
    <xf numFmtId="0" fontId="69" fillId="10" borderId="6" xfId="0" applyFont="1" applyFill="1" applyBorder="1" applyProtection="1">
      <protection locked="0"/>
    </xf>
    <xf numFmtId="0" fontId="69" fillId="10" borderId="10" xfId="0" applyFont="1" applyFill="1" applyBorder="1" applyProtection="1">
      <protection locked="0"/>
    </xf>
    <xf numFmtId="0" fontId="69" fillId="10" borderId="3" xfId="0" applyFont="1" applyFill="1" applyBorder="1" applyProtection="1">
      <protection locked="0"/>
    </xf>
    <xf numFmtId="0" fontId="69" fillId="10" borderId="7" xfId="0" applyFont="1" applyFill="1" applyBorder="1" applyProtection="1">
      <protection locked="0"/>
    </xf>
    <xf numFmtId="0" fontId="69" fillId="10" borderId="9" xfId="0" applyFont="1" applyFill="1" applyBorder="1" applyProtection="1">
      <protection locked="0"/>
    </xf>
    <xf numFmtId="0" fontId="2" fillId="8" borderId="29" xfId="0" applyFont="1" applyFill="1" applyBorder="1"/>
    <xf numFmtId="0" fontId="2" fillId="8" borderId="30" xfId="0" applyFont="1" applyFill="1" applyBorder="1"/>
    <xf numFmtId="0" fontId="2" fillId="8" borderId="31" xfId="0" applyFont="1" applyFill="1" applyBorder="1"/>
    <xf numFmtId="0" fontId="2" fillId="8" borderId="2" xfId="0" applyFont="1" applyFill="1" applyBorder="1"/>
    <xf numFmtId="0" fontId="2" fillId="8" borderId="32" xfId="0" applyFont="1" applyFill="1" applyBorder="1"/>
    <xf numFmtId="0" fontId="25" fillId="8" borderId="0" xfId="12" applyFill="1" applyBorder="1"/>
    <xf numFmtId="0" fontId="29" fillId="8" borderId="0" xfId="12" applyFont="1" applyFill="1" applyBorder="1" applyAlignment="1">
      <alignment vertical="center"/>
    </xf>
    <xf numFmtId="0" fontId="6" fillId="8" borderId="0" xfId="0" applyFont="1" applyFill="1" applyBorder="1"/>
    <xf numFmtId="0" fontId="2" fillId="8" borderId="80" xfId="0" applyFont="1" applyFill="1" applyBorder="1"/>
    <xf numFmtId="0" fontId="2" fillId="8" borderId="82" xfId="0" applyFont="1" applyFill="1" applyBorder="1"/>
    <xf numFmtId="0" fontId="2" fillId="8" borderId="81" xfId="0" applyFont="1" applyFill="1" applyBorder="1"/>
    <xf numFmtId="0" fontId="5" fillId="8" borderId="5" xfId="0" applyFont="1" applyFill="1" applyBorder="1" applyAlignment="1" applyProtection="1">
      <alignment horizontal="center"/>
    </xf>
    <xf numFmtId="1" fontId="7" fillId="15" borderId="35" xfId="14" applyNumberFormat="1" applyFont="1" applyFill="1" applyBorder="1" applyAlignment="1" applyProtection="1">
      <alignment horizontal="center"/>
    </xf>
    <xf numFmtId="0" fontId="5" fillId="8" borderId="0" xfId="0" applyFont="1" applyFill="1" applyBorder="1" applyProtection="1"/>
    <xf numFmtId="0" fontId="21" fillId="8" borderId="0" xfId="0" applyFont="1" applyFill="1" applyBorder="1" applyProtection="1"/>
    <xf numFmtId="0" fontId="5" fillId="8" borderId="8" xfId="0" applyFont="1" applyFill="1" applyBorder="1" applyProtection="1"/>
    <xf numFmtId="0" fontId="5" fillId="10" borderId="83" xfId="0" applyFont="1" applyFill="1" applyBorder="1" applyAlignment="1" applyProtection="1">
      <alignment horizontal="center"/>
      <protection locked="0"/>
    </xf>
    <xf numFmtId="0" fontId="17" fillId="15" borderId="60" xfId="7" applyFont="1" applyFill="1" applyBorder="1" applyAlignment="1" applyProtection="1">
      <alignment horizontal="center" vertical="center" wrapText="1"/>
    </xf>
    <xf numFmtId="0" fontId="17" fillId="15" borderId="43" xfId="7" applyFont="1" applyFill="1" applyBorder="1" applyAlignment="1" applyProtection="1">
      <alignment horizontal="center" vertical="center" wrapText="1"/>
    </xf>
    <xf numFmtId="0" fontId="17" fillId="15" borderId="20" xfId="7" applyFont="1" applyFill="1" applyBorder="1" applyAlignment="1" applyProtection="1">
      <alignment horizontal="center" vertical="center"/>
    </xf>
    <xf numFmtId="9" fontId="2" fillId="15" borderId="1" xfId="11" applyFont="1" applyFill="1" applyBorder="1" applyAlignment="1" applyProtection="1">
      <alignment horizontal="center"/>
    </xf>
    <xf numFmtId="44" fontId="17" fillId="15" borderId="1" xfId="13" applyNumberFormat="1" applyFont="1" applyFill="1" applyBorder="1" applyAlignment="1" applyProtection="1">
      <alignment horizontal="center" vertical="center"/>
    </xf>
    <xf numFmtId="44" fontId="17" fillId="15" borderId="64" xfId="13" applyNumberFormat="1" applyFont="1" applyFill="1" applyBorder="1" applyAlignment="1" applyProtection="1">
      <alignment horizontal="center" vertical="center"/>
    </xf>
    <xf numFmtId="0" fontId="7" fillId="15" borderId="18" xfId="7" applyFont="1" applyFill="1" applyBorder="1" applyAlignment="1" applyProtection="1">
      <alignment horizontal="center" vertical="center"/>
    </xf>
    <xf numFmtId="10" fontId="7" fillId="15" borderId="65" xfId="11" applyNumberFormat="1" applyFont="1" applyFill="1" applyBorder="1" applyAlignment="1" applyProtection="1">
      <alignment horizontal="center" vertical="center"/>
    </xf>
    <xf numFmtId="44" fontId="7" fillId="15" borderId="12" xfId="13" applyNumberFormat="1" applyFont="1" applyFill="1" applyBorder="1" applyAlignment="1" applyProtection="1">
      <alignment horizontal="center" vertical="center"/>
    </xf>
    <xf numFmtId="168" fontId="7" fillId="10" borderId="15" xfId="13" applyNumberFormat="1" applyFont="1" applyFill="1" applyBorder="1" applyAlignment="1" applyProtection="1">
      <protection locked="0"/>
    </xf>
    <xf numFmtId="168" fontId="7" fillId="10" borderId="64" xfId="13" applyNumberFormat="1" applyFont="1" applyFill="1" applyBorder="1" applyAlignment="1" applyProtection="1">
      <protection locked="0"/>
    </xf>
    <xf numFmtId="168" fontId="7" fillId="10" borderId="12" xfId="13" applyNumberFormat="1" applyFont="1" applyFill="1" applyBorder="1" applyAlignment="1" applyProtection="1">
      <protection locked="0"/>
    </xf>
    <xf numFmtId="44" fontId="17" fillId="15" borderId="65" xfId="13" applyNumberFormat="1" applyFont="1" applyFill="1" applyBorder="1" applyAlignment="1" applyProtection="1">
      <alignment horizontal="center" vertical="center"/>
    </xf>
    <xf numFmtId="44" fontId="5" fillId="15" borderId="35" xfId="13" applyFont="1" applyFill="1" applyBorder="1" applyAlignment="1" applyProtection="1">
      <alignment horizontal="center"/>
    </xf>
    <xf numFmtId="0" fontId="3" fillId="8" borderId="0" xfId="0" applyFont="1" applyFill="1" applyBorder="1" applyAlignment="1" applyProtection="1">
      <alignment horizontal="right"/>
    </xf>
    <xf numFmtId="0" fontId="4" fillId="8" borderId="0" xfId="0" applyFont="1" applyFill="1" applyBorder="1" applyProtection="1"/>
    <xf numFmtId="164" fontId="17" fillId="26" borderId="1" xfId="7" applyNumberFormat="1" applyFont="1" applyFill="1" applyBorder="1" applyAlignment="1" applyProtection="1">
      <alignment horizontal="center" vertical="center"/>
    </xf>
    <xf numFmtId="0" fontId="17" fillId="26" borderId="1" xfId="7" applyFont="1" applyFill="1" applyBorder="1" applyAlignment="1" applyProtection="1">
      <alignment horizontal="center" vertical="center"/>
    </xf>
    <xf numFmtId="0" fontId="2" fillId="26" borderId="37" xfId="7" applyFont="1" applyFill="1" applyBorder="1" applyAlignment="1" applyProtection="1">
      <alignment horizontal="left" vertical="center"/>
    </xf>
    <xf numFmtId="164" fontId="7" fillId="26" borderId="1" xfId="7" applyNumberFormat="1" applyFont="1" applyFill="1" applyBorder="1" applyAlignment="1" applyProtection="1">
      <alignment horizontal="center" vertical="center"/>
    </xf>
    <xf numFmtId="164" fontId="5" fillId="26" borderId="35" xfId="0" applyNumberFormat="1" applyFont="1" applyFill="1" applyBorder="1" applyAlignment="1" applyProtection="1">
      <alignment horizontal="center" vertical="center"/>
    </xf>
    <xf numFmtId="0" fontId="1" fillId="8" borderId="0" xfId="0" applyFont="1" applyFill="1" applyBorder="1" applyProtection="1"/>
    <xf numFmtId="0" fontId="17" fillId="8" borderId="3" xfId="7" applyFont="1" applyFill="1" applyBorder="1" applyProtection="1"/>
    <xf numFmtId="0" fontId="17" fillId="8" borderId="9" xfId="7" applyFont="1" applyFill="1" applyBorder="1" applyProtection="1"/>
    <xf numFmtId="0" fontId="45" fillId="8" borderId="3" xfId="17" applyFill="1" applyBorder="1" applyProtection="1"/>
    <xf numFmtId="0" fontId="47" fillId="8" borderId="3" xfId="0" applyFont="1" applyFill="1" applyBorder="1" applyAlignment="1" applyProtection="1">
      <alignment horizontal="left" vertical="top"/>
    </xf>
    <xf numFmtId="0" fontId="6" fillId="8" borderId="0" xfId="0" applyFont="1" applyFill="1" applyBorder="1" applyAlignment="1" applyProtection="1">
      <alignment horizontal="left"/>
    </xf>
    <xf numFmtId="0" fontId="36" fillId="15" borderId="44" xfId="7" applyFont="1" applyFill="1" applyBorder="1" applyAlignment="1" applyProtection="1">
      <alignment horizontal="left" vertical="center" wrapText="1"/>
    </xf>
    <xf numFmtId="0" fontId="36" fillId="15" borderId="30" xfId="7" applyFont="1" applyFill="1" applyBorder="1" applyAlignment="1" applyProtection="1">
      <alignment horizontal="left" vertical="center" wrapText="1"/>
    </xf>
    <xf numFmtId="0" fontId="36" fillId="15" borderId="31" xfId="7" applyFont="1" applyFill="1" applyBorder="1" applyAlignment="1" applyProtection="1">
      <alignment horizontal="left" vertical="center" wrapText="1"/>
    </xf>
    <xf numFmtId="0" fontId="17" fillId="8" borderId="37" xfId="7" applyFont="1" applyFill="1" applyBorder="1" applyAlignment="1" applyProtection="1">
      <alignment horizontal="left" vertical="center"/>
    </xf>
    <xf numFmtId="0" fontId="17" fillId="8" borderId="13" xfId="7" applyFont="1" applyFill="1" applyBorder="1" applyAlignment="1" applyProtection="1">
      <alignment horizontal="left" vertical="center"/>
    </xf>
    <xf numFmtId="0" fontId="17" fillId="8" borderId="34" xfId="7" applyFont="1" applyFill="1" applyBorder="1" applyAlignment="1" applyProtection="1">
      <alignment horizontal="left" vertical="center"/>
    </xf>
    <xf numFmtId="0" fontId="17" fillId="26" borderId="37" xfId="7" applyFont="1" applyFill="1" applyBorder="1" applyAlignment="1" applyProtection="1">
      <alignment horizontal="left" vertical="center"/>
    </xf>
    <xf numFmtId="0" fontId="17" fillId="26" borderId="13" xfId="7" applyFont="1" applyFill="1" applyBorder="1" applyAlignment="1" applyProtection="1">
      <alignment horizontal="left" vertical="center"/>
    </xf>
    <xf numFmtId="0" fontId="17" fillId="26" borderId="34" xfId="7" applyFont="1" applyFill="1" applyBorder="1" applyAlignment="1" applyProtection="1">
      <alignment horizontal="left" vertical="center"/>
    </xf>
    <xf numFmtId="0" fontId="17" fillId="8" borderId="0" xfId="7" applyFont="1" applyFill="1" applyBorder="1" applyAlignment="1" applyProtection="1">
      <alignment horizontal="center"/>
    </xf>
    <xf numFmtId="164" fontId="5" fillId="15" borderId="1" xfId="0" applyNumberFormat="1" applyFont="1" applyFill="1" applyBorder="1" applyAlignment="1" applyProtection="1">
      <alignment horizontal="center"/>
    </xf>
    <xf numFmtId="2" fontId="2" fillId="0" borderId="0" xfId="0" applyNumberFormat="1" applyFont="1"/>
    <xf numFmtId="2" fontId="2" fillId="15" borderId="1" xfId="14" applyNumberFormat="1" applyFont="1" applyFill="1" applyBorder="1" applyAlignment="1" applyProtection="1">
      <alignment horizontal="center"/>
      <protection locked="0"/>
    </xf>
    <xf numFmtId="0" fontId="17" fillId="8" borderId="0" xfId="7" applyFont="1" applyFill="1" applyBorder="1" applyAlignment="1" applyProtection="1">
      <alignment horizontal="center" vertical="center" wrapText="1"/>
    </xf>
    <xf numFmtId="0" fontId="17" fillId="8" borderId="4" xfId="0" applyFont="1" applyFill="1" applyBorder="1" applyProtection="1"/>
    <xf numFmtId="0" fontId="17" fillId="8" borderId="10" xfId="0" applyFont="1" applyFill="1" applyBorder="1" applyProtection="1"/>
    <xf numFmtId="0" fontId="17" fillId="8" borderId="10" xfId="4" applyFont="1" applyFill="1" applyBorder="1" applyAlignment="1" applyProtection="1">
      <alignment horizontal="center" vertical="center" wrapText="1"/>
    </xf>
    <xf numFmtId="0" fontId="17" fillId="8" borderId="0" xfId="4" applyFont="1" applyFill="1" applyBorder="1" applyAlignment="1" applyProtection="1">
      <alignment horizontal="center" vertical="center" wrapText="1"/>
    </xf>
    <xf numFmtId="0" fontId="7" fillId="8" borderId="0" xfId="4" applyFont="1" applyFill="1" applyBorder="1" applyAlignment="1" applyProtection="1">
      <alignment horizontal="center" vertical="center" wrapText="1"/>
    </xf>
    <xf numFmtId="0" fontId="17" fillId="8" borderId="3" xfId="4" applyFont="1" applyFill="1" applyBorder="1" applyAlignment="1" applyProtection="1">
      <alignment horizontal="center" vertical="center" wrapText="1"/>
    </xf>
    <xf numFmtId="0" fontId="2" fillId="8" borderId="7" xfId="0" applyFont="1" applyFill="1" applyBorder="1" applyProtection="1"/>
    <xf numFmtId="0" fontId="24" fillId="8" borderId="9" xfId="0" applyFont="1" applyFill="1" applyBorder="1" applyProtection="1">
      <protection locked="0"/>
    </xf>
    <xf numFmtId="166" fontId="7" fillId="10" borderId="1" xfId="13" applyNumberFormat="1" applyFont="1" applyFill="1" applyBorder="1" applyAlignment="1" applyProtection="1"/>
    <xf numFmtId="0" fontId="0" fillId="0" borderId="0" xfId="0" applyAlignment="1" applyProtection="1">
      <alignment horizontal="center" vertical="center"/>
    </xf>
    <xf numFmtId="0" fontId="9" fillId="0" borderId="29" xfId="0" applyFont="1" applyBorder="1" applyAlignment="1" applyProtection="1">
      <alignment horizontal="center" vertical="center"/>
    </xf>
    <xf numFmtId="0" fontId="9" fillId="0" borderId="1" xfId="0" applyFont="1" applyBorder="1" applyAlignment="1" applyProtection="1">
      <alignment horizontal="center" vertical="center"/>
    </xf>
    <xf numFmtId="1" fontId="0" fillId="0" borderId="30" xfId="0" applyNumberFormat="1" applyBorder="1" applyAlignment="1" applyProtection="1">
      <alignment horizontal="center" vertical="center"/>
    </xf>
    <xf numFmtId="1" fontId="0" fillId="0" borderId="29" xfId="0" applyNumberFormat="1" applyBorder="1" applyAlignment="1" applyProtection="1">
      <alignment horizontal="center" vertical="center"/>
    </xf>
    <xf numFmtId="1" fontId="0" fillId="0" borderId="31" xfId="0" applyNumberFormat="1" applyBorder="1" applyAlignment="1" applyProtection="1">
      <alignment horizontal="center" vertical="center"/>
    </xf>
    <xf numFmtId="0" fontId="9" fillId="0" borderId="2" xfId="0" applyFont="1" applyBorder="1" applyAlignment="1" applyProtection="1">
      <alignment horizontal="center" vertical="center"/>
    </xf>
    <xf numFmtId="1" fontId="0" fillId="0" borderId="2" xfId="0" applyNumberFormat="1" applyBorder="1" applyAlignment="1" applyProtection="1">
      <alignment horizontal="center" vertical="center"/>
    </xf>
    <xf numFmtId="1" fontId="0" fillId="0" borderId="0" xfId="0" applyNumberFormat="1" applyBorder="1" applyAlignment="1" applyProtection="1">
      <alignment horizontal="center" vertical="center"/>
    </xf>
    <xf numFmtId="1" fontId="0" fillId="0" borderId="32" xfId="0" applyNumberFormat="1" applyBorder="1" applyAlignment="1" applyProtection="1">
      <alignment horizontal="center" vertical="center"/>
    </xf>
    <xf numFmtId="0" fontId="9" fillId="0" borderId="42" xfId="0" applyFont="1" applyBorder="1" applyAlignment="1" applyProtection="1">
      <alignment horizontal="center" vertical="center"/>
    </xf>
    <xf numFmtId="1" fontId="0" fillId="0" borderId="42" xfId="0" applyNumberFormat="1" applyBorder="1" applyAlignment="1" applyProtection="1">
      <alignment horizontal="center" vertical="center"/>
    </xf>
    <xf numFmtId="1" fontId="0" fillId="0" borderId="14" xfId="0" applyNumberFormat="1" applyBorder="1" applyAlignment="1" applyProtection="1">
      <alignment horizontal="center" vertical="center"/>
    </xf>
    <xf numFmtId="1" fontId="0" fillId="0" borderId="16" xfId="0" applyNumberFormat="1" applyBorder="1" applyAlignment="1" applyProtection="1">
      <alignment horizontal="center" vertical="center"/>
    </xf>
    <xf numFmtId="0" fontId="0" fillId="0" borderId="0" xfId="0" applyAlignment="1" applyProtection="1">
      <alignment horizontal="left" vertical="top"/>
    </xf>
    <xf numFmtId="0" fontId="50" fillId="0" borderId="0" xfId="9" applyNumberFormat="1" applyFont="1" applyProtection="1"/>
    <xf numFmtId="0" fontId="57" fillId="0" borderId="0" xfId="0" applyFont="1" applyAlignment="1" applyProtection="1">
      <alignment wrapText="1"/>
    </xf>
    <xf numFmtId="0" fontId="57" fillId="0" borderId="0" xfId="0" applyFont="1" applyProtection="1"/>
    <xf numFmtId="2" fontId="26" fillId="0" borderId="0" xfId="0" applyNumberFormat="1" applyFont="1" applyProtection="1"/>
    <xf numFmtId="9" fontId="26" fillId="0" borderId="0" xfId="11" applyFont="1" applyProtection="1"/>
    <xf numFmtId="0" fontId="57" fillId="0" borderId="1" xfId="0" applyFont="1" applyBorder="1" applyProtection="1"/>
    <xf numFmtId="2" fontId="26" fillId="0" borderId="1" xfId="0" applyNumberFormat="1" applyFont="1" applyBorder="1" applyProtection="1"/>
    <xf numFmtId="0" fontId="24" fillId="0" borderId="1" xfId="0" applyFont="1" applyBorder="1" applyAlignment="1" applyProtection="1">
      <alignment vertical="center"/>
    </xf>
    <xf numFmtId="2" fontId="2" fillId="0" borderId="1" xfId="0" applyNumberFormat="1" applyFont="1" applyBorder="1" applyProtection="1"/>
    <xf numFmtId="166" fontId="26" fillId="0" borderId="0" xfId="13" applyNumberFormat="1" applyFont="1" applyProtection="1"/>
    <xf numFmtId="0" fontId="2" fillId="8" borderId="0" xfId="0" applyFont="1" applyFill="1" applyProtection="1"/>
    <xf numFmtId="0" fontId="2" fillId="11" borderId="0" xfId="0" applyFont="1" applyFill="1" applyProtection="1"/>
    <xf numFmtId="0" fontId="2" fillId="15" borderId="77" xfId="0" applyFont="1" applyFill="1" applyBorder="1" applyAlignment="1" applyProtection="1">
      <alignment horizontal="center" vertical="center"/>
    </xf>
    <xf numFmtId="0" fontId="2" fillId="8" borderId="0" xfId="0" applyFont="1" applyFill="1" applyAlignment="1" applyProtection="1">
      <alignment horizontal="left"/>
    </xf>
    <xf numFmtId="0" fontId="2" fillId="15" borderId="71" xfId="0" applyFont="1" applyFill="1" applyBorder="1" applyAlignment="1" applyProtection="1">
      <alignment horizontal="center" vertical="center"/>
    </xf>
    <xf numFmtId="0" fontId="2" fillId="8" borderId="0" xfId="0" applyFont="1" applyFill="1" applyAlignment="1" applyProtection="1">
      <alignment horizontal="center"/>
    </xf>
    <xf numFmtId="0" fontId="2" fillId="15" borderId="1" xfId="0" applyFont="1" applyFill="1" applyBorder="1" applyProtection="1"/>
    <xf numFmtId="0" fontId="15" fillId="11" borderId="0" xfId="0" applyFont="1" applyFill="1" applyProtection="1"/>
    <xf numFmtId="0" fontId="15" fillId="8" borderId="0" xfId="0" applyFont="1" applyFill="1" applyProtection="1"/>
    <xf numFmtId="0" fontId="20" fillId="0" borderId="0" xfId="0" applyFont="1" applyAlignment="1" applyProtection="1">
      <alignment vertical="center"/>
    </xf>
    <xf numFmtId="0" fontId="17" fillId="15" borderId="78" xfId="4" applyFont="1" applyFill="1" applyBorder="1" applyAlignment="1" applyProtection="1">
      <alignment horizontal="center"/>
    </xf>
    <xf numFmtId="0" fontId="17" fillId="15" borderId="10" xfId="4" applyFont="1" applyFill="1" applyBorder="1" applyAlignment="1" applyProtection="1">
      <alignment horizontal="center"/>
    </xf>
    <xf numFmtId="0" fontId="17" fillId="15" borderId="79" xfId="4" applyFont="1" applyFill="1" applyBorder="1" applyAlignment="1" applyProtection="1">
      <alignment horizontal="center"/>
    </xf>
    <xf numFmtId="14" fontId="2" fillId="15" borderId="7" xfId="0" applyNumberFormat="1" applyFont="1" applyFill="1" applyBorder="1" applyAlignment="1" applyProtection="1">
      <alignment horizontal="center"/>
    </xf>
    <xf numFmtId="14" fontId="2" fillId="15" borderId="8" xfId="0" applyNumberFormat="1" applyFont="1" applyFill="1" applyBorder="1" applyAlignment="1" applyProtection="1">
      <alignment horizontal="center"/>
    </xf>
    <xf numFmtId="0" fontId="2" fillId="8" borderId="0" xfId="0" applyFont="1" applyFill="1" applyBorder="1" applyAlignment="1" applyProtection="1">
      <alignment horizontal="left" vertical="center"/>
    </xf>
    <xf numFmtId="0" fontId="5" fillId="8" borderId="0" xfId="0" applyFont="1" applyFill="1" applyBorder="1" applyAlignment="1" applyProtection="1">
      <alignment horizontal="center"/>
    </xf>
    <xf numFmtId="0" fontId="5" fillId="10" borderId="66" xfId="0" applyFont="1" applyFill="1" applyBorder="1" applyAlignment="1" applyProtection="1">
      <alignment horizontal="center"/>
      <protection locked="0"/>
    </xf>
    <xf numFmtId="0" fontId="71" fillId="0" borderId="0" xfId="0" applyFont="1"/>
    <xf numFmtId="0" fontId="26" fillId="0" borderId="0" xfId="0" applyFont="1" applyAlignment="1" applyProtection="1">
      <alignment horizontal="right"/>
    </xf>
    <xf numFmtId="0" fontId="45" fillId="23" borderId="35" xfId="17" applyBorder="1" applyProtection="1"/>
    <xf numFmtId="0" fontId="67" fillId="8" borderId="8" xfId="0" applyFont="1" applyFill="1" applyBorder="1" applyProtection="1"/>
    <xf numFmtId="0" fontId="26" fillId="8" borderId="8" xfId="0" applyFont="1" applyFill="1" applyBorder="1" applyProtection="1"/>
    <xf numFmtId="0" fontId="72" fillId="8" borderId="0" xfId="0" applyFont="1" applyFill="1" applyBorder="1" applyAlignment="1" applyProtection="1">
      <alignment vertical="center"/>
    </xf>
    <xf numFmtId="0" fontId="17" fillId="10" borderId="9" xfId="4" applyFont="1" applyFill="1" applyBorder="1" applyAlignment="1" applyProtection="1">
      <protection locked="0"/>
    </xf>
    <xf numFmtId="0" fontId="62" fillId="8" borderId="6" xfId="0" applyFont="1" applyFill="1" applyBorder="1" applyAlignment="1" applyProtection="1">
      <alignment horizontal="left" vertical="center"/>
    </xf>
    <xf numFmtId="0" fontId="62" fillId="8" borderId="3" xfId="0" applyFont="1" applyFill="1" applyBorder="1" applyAlignment="1" applyProtection="1">
      <alignment horizontal="left" vertical="center"/>
    </xf>
    <xf numFmtId="0" fontId="5" fillId="8" borderId="10" xfId="0" applyFont="1" applyFill="1" applyBorder="1" applyAlignment="1" applyProtection="1">
      <alignment horizontal="center" vertical="center"/>
    </xf>
    <xf numFmtId="0" fontId="5" fillId="8" borderId="8" xfId="0" applyFont="1" applyFill="1" applyBorder="1" applyAlignment="1" applyProtection="1">
      <alignment horizontal="center" vertical="center"/>
    </xf>
    <xf numFmtId="0" fontId="5" fillId="8" borderId="9" xfId="0" applyFont="1" applyFill="1" applyBorder="1" applyAlignment="1" applyProtection="1">
      <alignment horizontal="center" vertical="center"/>
    </xf>
    <xf numFmtId="0" fontId="2" fillId="8" borderId="9" xfId="0" applyFont="1" applyFill="1" applyBorder="1" applyAlignment="1" applyProtection="1">
      <alignment horizontal="center"/>
    </xf>
    <xf numFmtId="9" fontId="5" fillId="15" borderId="1" xfId="11" applyFont="1" applyFill="1" applyBorder="1" applyAlignment="1" applyProtection="1">
      <alignment horizontal="center"/>
    </xf>
    <xf numFmtId="0" fontId="1" fillId="8" borderId="0" xfId="0" applyFont="1" applyFill="1" applyBorder="1" applyAlignment="1" applyProtection="1">
      <alignment horizontal="center" vertical="center" wrapText="1"/>
    </xf>
    <xf numFmtId="170" fontId="2" fillId="15" borderId="1" xfId="13" applyNumberFormat="1" applyFont="1" applyFill="1" applyBorder="1" applyAlignment="1" applyProtection="1">
      <alignment horizontal="center" vertical="center"/>
    </xf>
    <xf numFmtId="0" fontId="56" fillId="8" borderId="10" xfId="0" applyFont="1" applyFill="1" applyBorder="1" applyAlignment="1" applyProtection="1">
      <alignment horizontal="center"/>
    </xf>
    <xf numFmtId="0" fontId="73" fillId="0" borderId="0" xfId="0" applyFont="1" applyProtection="1"/>
    <xf numFmtId="0" fontId="2" fillId="8" borderId="84" xfId="0" applyFont="1" applyFill="1" applyBorder="1" applyAlignment="1" applyProtection="1">
      <alignment horizontal="left"/>
    </xf>
    <xf numFmtId="0" fontId="26" fillId="8" borderId="84" xfId="0" applyFont="1" applyFill="1" applyBorder="1" applyAlignment="1" applyProtection="1">
      <alignment wrapText="1"/>
    </xf>
    <xf numFmtId="0" fontId="26" fillId="8" borderId="84" xfId="0" applyFont="1" applyFill="1" applyBorder="1" applyProtection="1"/>
    <xf numFmtId="0" fontId="17" fillId="8" borderId="0" xfId="7" applyFont="1" applyFill="1" applyBorder="1" applyAlignment="1" applyProtection="1">
      <alignment horizontal="right"/>
    </xf>
    <xf numFmtId="0" fontId="17" fillId="8" borderId="3" xfId="7" applyFont="1" applyFill="1" applyBorder="1" applyAlignment="1" applyProtection="1">
      <alignment horizontal="right"/>
    </xf>
    <xf numFmtId="0" fontId="6" fillId="8" borderId="3" xfId="0" applyFont="1" applyFill="1" applyBorder="1" applyAlignment="1" applyProtection="1">
      <alignment horizontal="left" vertical="top"/>
    </xf>
    <xf numFmtId="0" fontId="17" fillId="13" borderId="19" xfId="7" applyFont="1" applyFill="1" applyBorder="1" applyAlignment="1" applyProtection="1">
      <alignment horizontal="center" vertical="center" wrapText="1"/>
    </xf>
    <xf numFmtId="0" fontId="17" fillId="13" borderId="11" xfId="7" applyFont="1" applyFill="1" applyBorder="1" applyAlignment="1" applyProtection="1">
      <alignment horizontal="center" vertical="center" wrapText="1"/>
    </xf>
    <xf numFmtId="0" fontId="17" fillId="8" borderId="3" xfId="7" applyFont="1" applyFill="1" applyBorder="1" applyAlignment="1" applyProtection="1">
      <alignment horizontal="center" vertical="center" wrapText="1"/>
    </xf>
    <xf numFmtId="44" fontId="17" fillId="8" borderId="3" xfId="13" applyNumberFormat="1" applyFont="1" applyFill="1" applyBorder="1" applyAlignment="1" applyProtection="1">
      <alignment horizontal="center" vertical="center"/>
    </xf>
    <xf numFmtId="44" fontId="7" fillId="8" borderId="3" xfId="13" applyNumberFormat="1" applyFont="1" applyFill="1" applyBorder="1" applyAlignment="1" applyProtection="1">
      <alignment horizontal="center" vertical="center"/>
    </xf>
    <xf numFmtId="168" fontId="7" fillId="8" borderId="3" xfId="13" applyNumberFormat="1" applyFont="1" applyFill="1" applyBorder="1" applyAlignment="1" applyProtection="1">
      <protection locked="0"/>
    </xf>
    <xf numFmtId="44" fontId="5" fillId="8" borderId="3" xfId="13" applyFont="1" applyFill="1" applyBorder="1" applyAlignment="1" applyProtection="1">
      <alignment horizontal="center"/>
    </xf>
    <xf numFmtId="44" fontId="3" fillId="8" borderId="3" xfId="13" applyFont="1" applyFill="1" applyBorder="1" applyAlignment="1" applyProtection="1">
      <alignment horizontal="center"/>
    </xf>
    <xf numFmtId="0" fontId="6" fillId="8" borderId="0" xfId="0" applyFont="1" applyFill="1" applyBorder="1" applyAlignment="1" applyProtection="1">
      <alignment horizontal="left"/>
    </xf>
    <xf numFmtId="0" fontId="2" fillId="8" borderId="10" xfId="0" applyFont="1" applyFill="1" applyBorder="1" applyAlignment="1" applyProtection="1">
      <alignment horizontal="center" vertical="top"/>
    </xf>
    <xf numFmtId="0" fontId="51" fillId="8" borderId="35" xfId="0" applyFont="1" applyFill="1" applyBorder="1" applyAlignment="1">
      <alignment horizontal="center" vertical="center" wrapText="1"/>
    </xf>
    <xf numFmtId="0" fontId="0" fillId="0" borderId="0" xfId="0" applyAlignment="1">
      <alignment wrapText="1"/>
    </xf>
    <xf numFmtId="0" fontId="2" fillId="0" borderId="3" xfId="0" applyFont="1" applyBorder="1"/>
    <xf numFmtId="0" fontId="23" fillId="8" borderId="9" xfId="1" applyFont="1" applyFill="1" applyBorder="1" applyAlignment="1" applyProtection="1">
      <alignment horizontal="left"/>
    </xf>
    <xf numFmtId="2" fontId="15" fillId="0" borderId="0" xfId="0" applyNumberFormat="1" applyFont="1" applyProtection="1"/>
    <xf numFmtId="0" fontId="2" fillId="8" borderId="0" xfId="0" applyFont="1" applyFill="1" applyBorder="1" applyAlignment="1" applyProtection="1">
      <alignment horizontal="center" wrapText="1"/>
    </xf>
    <xf numFmtId="1" fontId="44" fillId="15" borderId="39" xfId="0" applyNumberFormat="1" applyFont="1" applyFill="1" applyBorder="1" applyAlignment="1">
      <alignment horizontal="center" vertical="center" wrapText="1"/>
    </xf>
    <xf numFmtId="0" fontId="51" fillId="8" borderId="7" xfId="0" applyFont="1" applyFill="1" applyBorder="1" applyAlignment="1">
      <alignment vertical="center" wrapText="1"/>
    </xf>
    <xf numFmtId="0" fontId="51" fillId="8" borderId="72" xfId="0" applyFont="1" applyFill="1" applyBorder="1" applyAlignment="1">
      <alignment vertical="center" wrapText="1"/>
    </xf>
    <xf numFmtId="0" fontId="44" fillId="15" borderId="35" xfId="0" applyFont="1" applyFill="1" applyBorder="1" applyAlignment="1">
      <alignment horizontal="center" vertical="center" wrapText="1"/>
    </xf>
    <xf numFmtId="0" fontId="70" fillId="8" borderId="0" xfId="0" applyFont="1" applyFill="1" applyBorder="1" applyAlignment="1" applyProtection="1">
      <alignment vertical="center"/>
    </xf>
    <xf numFmtId="0" fontId="15" fillId="8" borderId="3" xfId="0" applyFont="1" applyFill="1" applyBorder="1" applyProtection="1"/>
    <xf numFmtId="0" fontId="15" fillId="8" borderId="8" xfId="0" applyFont="1" applyFill="1" applyBorder="1" applyProtection="1"/>
    <xf numFmtId="0" fontId="15" fillId="8" borderId="9" xfId="0" applyFont="1" applyFill="1" applyBorder="1" applyProtection="1"/>
    <xf numFmtId="0" fontId="64" fillId="19" borderId="1" xfId="4" applyFont="1" applyFill="1" applyBorder="1" applyAlignment="1" applyProtection="1">
      <alignment horizontal="center" vertical="center" wrapText="1"/>
    </xf>
    <xf numFmtId="0" fontId="64" fillId="17" borderId="108" xfId="4" applyFont="1" applyFill="1" applyBorder="1" applyAlignment="1" applyProtection="1">
      <alignment horizontal="left" vertical="top"/>
    </xf>
    <xf numFmtId="0" fontId="64" fillId="17" borderId="111" xfId="4" applyFont="1" applyFill="1" applyBorder="1" applyAlignment="1" applyProtection="1">
      <alignment horizontal="left" vertical="top"/>
    </xf>
    <xf numFmtId="0" fontId="64" fillId="17" borderId="114" xfId="4" applyFont="1" applyFill="1" applyBorder="1" applyAlignment="1" applyProtection="1">
      <alignment horizontal="left" vertical="top"/>
    </xf>
    <xf numFmtId="0" fontId="64" fillId="17" borderId="117" xfId="4" applyFont="1" applyFill="1" applyBorder="1" applyAlignment="1" applyProtection="1">
      <alignment horizontal="left" vertical="top"/>
    </xf>
    <xf numFmtId="0" fontId="64" fillId="17" borderId="120" xfId="4" applyFont="1" applyFill="1" applyBorder="1" applyAlignment="1" applyProtection="1">
      <alignment horizontal="left" vertical="top"/>
    </xf>
    <xf numFmtId="0" fontId="64" fillId="17" borderId="111" xfId="4" applyFont="1" applyFill="1" applyBorder="1" applyAlignment="1" applyProtection="1">
      <alignment vertical="top"/>
    </xf>
    <xf numFmtId="1" fontId="44" fillId="15" borderId="39" xfId="0" applyNumberFormat="1" applyFont="1" applyFill="1" applyBorder="1" applyAlignment="1">
      <alignment horizontal="center" vertical="center" wrapText="1"/>
    </xf>
    <xf numFmtId="2" fontId="64" fillId="19" borderId="1" xfId="4" applyNumberFormat="1" applyFont="1" applyFill="1" applyBorder="1" applyAlignment="1" applyProtection="1">
      <alignment horizontal="center" wrapText="1"/>
    </xf>
    <xf numFmtId="0" fontId="64" fillId="17" borderId="123" xfId="4" applyFont="1" applyFill="1" applyBorder="1" applyAlignment="1" applyProtection="1">
      <alignment horizontal="left" vertical="top"/>
    </xf>
    <xf numFmtId="0" fontId="44" fillId="0" borderId="77" xfId="0" applyFont="1" applyBorder="1" applyAlignment="1">
      <alignment horizontal="center" vertical="center" wrapText="1"/>
    </xf>
    <xf numFmtId="1" fontId="44" fillId="15" borderId="4" xfId="0" applyNumberFormat="1" applyFont="1" applyFill="1" applyBorder="1" applyAlignment="1">
      <alignment horizontal="center" vertical="center" wrapText="1"/>
    </xf>
    <xf numFmtId="0" fontId="64" fillId="17" borderId="117" xfId="4" applyFont="1" applyFill="1" applyBorder="1" applyAlignment="1" applyProtection="1">
      <alignment horizontal="left" vertical="top" wrapText="1"/>
    </xf>
    <xf numFmtId="0" fontId="7" fillId="10" borderId="1" xfId="2" applyFont="1" applyFill="1" applyBorder="1" applyAlignment="1" applyProtection="1">
      <alignment horizontal="center"/>
      <protection locked="0"/>
    </xf>
    <xf numFmtId="44" fontId="17" fillId="12" borderId="11" xfId="13" applyFont="1" applyFill="1" applyBorder="1" applyProtection="1"/>
    <xf numFmtId="166" fontId="17" fillId="12" borderId="33" xfId="13" applyNumberFormat="1" applyFont="1" applyFill="1" applyBorder="1" applyProtection="1"/>
    <xf numFmtId="1" fontId="44" fillId="15" borderId="39" xfId="0" applyNumberFormat="1" applyFont="1" applyFill="1" applyBorder="1" applyAlignment="1">
      <alignment horizontal="center" vertical="center" wrapText="1"/>
    </xf>
    <xf numFmtId="0" fontId="51" fillId="8" borderId="39" xfId="0" applyFont="1" applyFill="1" applyBorder="1" applyAlignment="1">
      <alignment horizontal="center" vertical="center" wrapText="1"/>
    </xf>
    <xf numFmtId="0" fontId="15" fillId="0" borderId="27" xfId="0" applyFont="1" applyBorder="1" applyProtection="1"/>
    <xf numFmtId="0" fontId="64" fillId="20" borderId="1" xfId="4" applyFont="1" applyFill="1" applyBorder="1" applyAlignment="1" applyProtection="1">
      <alignment horizontal="center" vertical="center" wrapText="1"/>
    </xf>
    <xf numFmtId="0" fontId="63" fillId="16" borderId="130" xfId="4" applyFont="1" applyFill="1" applyBorder="1" applyAlignment="1" applyProtection="1">
      <alignment horizontal="left" wrapText="1"/>
    </xf>
    <xf numFmtId="164" fontId="64" fillId="19" borderId="1" xfId="4" applyNumberFormat="1" applyFont="1" applyFill="1" applyBorder="1" applyAlignment="1" applyProtection="1">
      <alignment horizontal="center" vertical="center" wrapText="1"/>
    </xf>
    <xf numFmtId="0" fontId="64" fillId="25" borderId="1" xfId="4" applyFont="1" applyFill="1" applyBorder="1" applyAlignment="1" applyProtection="1">
      <alignment horizontal="center" vertical="center" wrapText="1"/>
      <protection locked="0"/>
    </xf>
    <xf numFmtId="0" fontId="64" fillId="17" borderId="139" xfId="4" applyFont="1" applyFill="1" applyBorder="1" applyAlignment="1" applyProtection="1">
      <alignment wrapText="1"/>
      <protection locked="0"/>
    </xf>
    <xf numFmtId="0" fontId="64" fillId="17" borderId="140" xfId="4" applyFont="1" applyFill="1" applyBorder="1" applyAlignment="1" applyProtection="1">
      <alignment wrapText="1"/>
      <protection locked="0"/>
    </xf>
    <xf numFmtId="0" fontId="2" fillId="8" borderId="0" xfId="0" applyFont="1" applyFill="1" applyBorder="1" applyAlignment="1">
      <alignment horizontal="right"/>
    </xf>
    <xf numFmtId="0" fontId="2" fillId="15" borderId="36" xfId="0" applyFont="1" applyFill="1" applyBorder="1" applyAlignment="1" applyProtection="1">
      <alignment horizontal="center" vertical="center"/>
    </xf>
    <xf numFmtId="0" fontId="15" fillId="8" borderId="143" xfId="0" applyFont="1" applyFill="1" applyBorder="1" applyProtection="1"/>
    <xf numFmtId="44" fontId="44" fillId="10" borderId="9" xfId="13" applyNumberFormat="1" applyFont="1" applyFill="1" applyBorder="1" applyAlignment="1" applyProtection="1">
      <alignment horizontal="center" vertical="center" wrapText="1"/>
      <protection locked="0"/>
    </xf>
    <xf numFmtId="0" fontId="49" fillId="17" borderId="87" xfId="4" applyFont="1" applyFill="1" applyBorder="1" applyAlignment="1" applyProtection="1">
      <alignment vertical="top" wrapText="1"/>
    </xf>
    <xf numFmtId="0" fontId="76" fillId="16" borderId="45" xfId="4" applyFont="1" applyFill="1" applyBorder="1" applyAlignment="1" applyProtection="1">
      <alignment horizontal="left" vertical="top"/>
    </xf>
    <xf numFmtId="0" fontId="49" fillId="17" borderId="86" xfId="4" applyFont="1" applyFill="1" applyBorder="1" applyAlignment="1" applyProtection="1">
      <alignment vertical="top" wrapText="1"/>
    </xf>
    <xf numFmtId="0" fontId="44" fillId="0" borderId="0" xfId="0" applyFont="1"/>
    <xf numFmtId="0" fontId="6" fillId="8" borderId="0" xfId="0" applyFont="1" applyFill="1" applyBorder="1" applyAlignment="1" applyProtection="1">
      <alignment horizontal="left"/>
    </xf>
    <xf numFmtId="0" fontId="9" fillId="0" borderId="0" xfId="0" applyFont="1"/>
    <xf numFmtId="0" fontId="0" fillId="0" borderId="0" xfId="0" applyFont="1"/>
    <xf numFmtId="14" fontId="6" fillId="8" borderId="0" xfId="0" applyNumberFormat="1" applyFont="1" applyFill="1" applyBorder="1" applyAlignment="1" applyProtection="1">
      <alignment horizontal="left"/>
    </xf>
    <xf numFmtId="0" fontId="19" fillId="15" borderId="35" xfId="11" applyNumberFormat="1" applyFill="1" applyBorder="1" applyAlignment="1" applyProtection="1">
      <alignment horizontal="center"/>
    </xf>
    <xf numFmtId="0" fontId="7" fillId="10" borderId="1" xfId="2" applyFont="1" applyFill="1" applyBorder="1" applyAlignment="1" applyProtection="1">
      <alignment horizontal="center"/>
      <protection locked="0"/>
    </xf>
    <xf numFmtId="0" fontId="0" fillId="0" borderId="0" xfId="0" applyAlignment="1">
      <alignment wrapText="1"/>
    </xf>
    <xf numFmtId="2" fontId="0" fillId="0" borderId="0" xfId="0" applyNumberFormat="1"/>
    <xf numFmtId="0" fontId="7" fillId="10" borderId="1" xfId="2" applyFont="1" applyFill="1" applyBorder="1" applyAlignment="1" applyProtection="1">
      <alignment horizontal="center"/>
      <protection locked="0"/>
    </xf>
    <xf numFmtId="0" fontId="17" fillId="8" borderId="10" xfId="7" applyFont="1" applyFill="1" applyBorder="1" applyAlignment="1" applyProtection="1">
      <alignment horizontal="left" vertical="top" wrapText="1"/>
    </xf>
    <xf numFmtId="0" fontId="17" fillId="8" borderId="84" xfId="7" applyFont="1" applyFill="1" applyBorder="1" applyProtection="1"/>
    <xf numFmtId="0" fontId="9" fillId="0" borderId="0" xfId="0" applyFont="1" applyBorder="1" applyAlignment="1" applyProtection="1">
      <alignment horizontal="center" vertical="center"/>
    </xf>
    <xf numFmtId="2" fontId="5" fillId="15" borderId="1" xfId="13" applyNumberFormat="1" applyFont="1" applyFill="1" applyBorder="1" applyAlignment="1" applyProtection="1">
      <alignment horizontal="center"/>
    </xf>
    <xf numFmtId="164" fontId="2" fillId="10" borderId="66" xfId="0" applyNumberFormat="1" applyFont="1" applyFill="1" applyBorder="1" applyAlignment="1" applyProtection="1">
      <alignment horizontal="center"/>
      <protection locked="0"/>
    </xf>
    <xf numFmtId="0" fontId="0" fillId="8" borderId="0" xfId="0" applyFill="1" applyBorder="1" applyAlignment="1" applyProtection="1">
      <alignment horizontal="left"/>
    </xf>
    <xf numFmtId="0" fontId="2" fillId="8" borderId="0" xfId="0" applyFont="1" applyFill="1" applyBorder="1" applyAlignment="1" applyProtection="1">
      <alignment horizontal="left" wrapText="1"/>
    </xf>
    <xf numFmtId="164" fontId="19" fillId="15" borderId="35" xfId="18" applyNumberFormat="1" applyFill="1" applyBorder="1" applyAlignment="1" applyProtection="1">
      <alignment horizontal="center" vertical="center"/>
    </xf>
    <xf numFmtId="165" fontId="19" fillId="15" borderId="35" xfId="11" applyNumberFormat="1" applyFill="1" applyBorder="1" applyAlignment="1" applyProtection="1">
      <alignment horizontal="center" vertical="center"/>
    </xf>
    <xf numFmtId="9" fontId="7" fillId="15" borderId="1" xfId="11" applyFont="1" applyFill="1" applyBorder="1" applyAlignment="1" applyProtection="1">
      <alignment horizontal="center" vertical="center"/>
    </xf>
    <xf numFmtId="0" fontId="2" fillId="8" borderId="77" xfId="0" applyFont="1" applyFill="1" applyBorder="1" applyAlignment="1" applyProtection="1">
      <alignment horizontal="right" vertical="center" wrapText="1"/>
    </xf>
    <xf numFmtId="0" fontId="17" fillId="8" borderId="0" xfId="7" applyFont="1" applyFill="1" applyBorder="1" applyAlignment="1" applyProtection="1">
      <alignment horizontal="right" vertical="center" wrapText="1"/>
    </xf>
    <xf numFmtId="0" fontId="2" fillId="8" borderId="0" xfId="0" applyFont="1" applyFill="1" applyBorder="1" applyAlignment="1" applyProtection="1">
      <alignment horizontal="right" vertical="center"/>
    </xf>
    <xf numFmtId="0" fontId="5" fillId="15" borderId="1" xfId="0" applyFont="1" applyFill="1" applyBorder="1" applyAlignment="1" applyProtection="1">
      <alignment horizontal="center" vertical="center"/>
    </xf>
    <xf numFmtId="2" fontId="2" fillId="15" borderId="35" xfId="14" applyNumberFormat="1" applyFont="1" applyFill="1" applyBorder="1" applyAlignment="1" applyProtection="1">
      <alignment horizontal="center"/>
    </xf>
    <xf numFmtId="0" fontId="57" fillId="0" borderId="144" xfId="0" applyFont="1" applyBorder="1" applyProtection="1"/>
    <xf numFmtId="0" fontId="26" fillId="0" borderId="144" xfId="0" applyFont="1" applyBorder="1" applyProtection="1"/>
    <xf numFmtId="2" fontId="26" fillId="0" borderId="144" xfId="0" applyNumberFormat="1" applyFont="1" applyBorder="1" applyProtection="1"/>
    <xf numFmtId="2" fontId="26" fillId="0" borderId="0" xfId="0" applyNumberFormat="1" applyFont="1" applyBorder="1" applyProtection="1"/>
    <xf numFmtId="2" fontId="0" fillId="0" borderId="0" xfId="0" applyNumberFormat="1" applyAlignment="1">
      <alignment horizontal="center" vertical="center"/>
    </xf>
    <xf numFmtId="0" fontId="0" fillId="0" borderId="0" xfId="0" applyAlignment="1">
      <alignment horizontal="center" vertical="center"/>
    </xf>
    <xf numFmtId="0" fontId="26" fillId="8" borderId="4" xfId="0" applyFont="1" applyFill="1" applyBorder="1" applyProtection="1"/>
    <xf numFmtId="0" fontId="26" fillId="8" borderId="5" xfId="0" applyFont="1" applyFill="1" applyBorder="1" applyProtection="1"/>
    <xf numFmtId="0" fontId="26" fillId="8" borderId="6" xfId="0" applyFont="1" applyFill="1" applyBorder="1" applyProtection="1"/>
    <xf numFmtId="0" fontId="73" fillId="8" borderId="84" xfId="0" applyFont="1" applyFill="1" applyBorder="1" applyAlignment="1" applyProtection="1">
      <alignment horizontal="left"/>
    </xf>
    <xf numFmtId="44" fontId="24" fillId="15" borderId="1" xfId="13" applyFont="1" applyFill="1" applyBorder="1" applyAlignment="1" applyProtection="1">
      <alignment horizontal="center" vertical="center"/>
    </xf>
    <xf numFmtId="0" fontId="73" fillId="8" borderId="0" xfId="0" applyFont="1" applyFill="1" applyBorder="1" applyAlignment="1" applyProtection="1">
      <alignment horizontal="right"/>
    </xf>
    <xf numFmtId="9" fontId="26" fillId="10" borderId="35" xfId="11" applyFont="1" applyFill="1" applyBorder="1" applyAlignment="1" applyProtection="1">
      <alignment horizontal="center"/>
      <protection locked="0"/>
    </xf>
    <xf numFmtId="0" fontId="73" fillId="8" borderId="0" xfId="0" applyFont="1" applyFill="1" applyBorder="1" applyAlignment="1" applyProtection="1">
      <alignment horizontal="left"/>
    </xf>
    <xf numFmtId="0" fontId="26" fillId="8" borderId="3" xfId="0" applyFont="1" applyFill="1" applyBorder="1" applyProtection="1"/>
    <xf numFmtId="0" fontId="26" fillId="8" borderId="0" xfId="0" applyFont="1" applyFill="1" applyBorder="1" applyAlignment="1" applyProtection="1">
      <alignment horizontal="center"/>
    </xf>
    <xf numFmtId="0" fontId="26" fillId="8" borderId="7" xfId="0" applyFont="1" applyFill="1" applyBorder="1" applyProtection="1"/>
    <xf numFmtId="0" fontId="26" fillId="8" borderId="9" xfId="0" applyFont="1" applyFill="1" applyBorder="1" applyProtection="1"/>
    <xf numFmtId="0" fontId="5" fillId="15" borderId="35" xfId="0" applyFont="1" applyFill="1" applyBorder="1" applyProtection="1"/>
    <xf numFmtId="0" fontId="2" fillId="15" borderId="36" xfId="0" applyFont="1" applyFill="1" applyBorder="1" applyAlignment="1" applyProtection="1">
      <alignment horizontal="left" vertical="center"/>
    </xf>
    <xf numFmtId="0" fontId="2" fillId="15" borderId="77" xfId="0" applyFont="1" applyFill="1" applyBorder="1" applyAlignment="1" applyProtection="1">
      <alignment horizontal="left" vertical="center"/>
    </xf>
    <xf numFmtId="0" fontId="2" fillId="15" borderId="71" xfId="0" applyFont="1" applyFill="1" applyBorder="1" applyAlignment="1" applyProtection="1">
      <alignment horizontal="left" vertical="center"/>
    </xf>
    <xf numFmtId="0" fontId="2" fillId="8" borderId="0" xfId="0" applyFont="1" applyFill="1" applyBorder="1" applyAlignment="1" applyProtection="1">
      <alignment horizontal="left" vertical="center"/>
    </xf>
    <xf numFmtId="0" fontId="6" fillId="8" borderId="0" xfId="0" applyFont="1" applyFill="1" applyBorder="1" applyAlignment="1" applyProtection="1">
      <alignment wrapText="1"/>
    </xf>
    <xf numFmtId="0" fontId="7" fillId="10" borderId="1" xfId="2" applyFont="1" applyFill="1" applyBorder="1" applyAlignment="1" applyProtection="1">
      <alignment horizontal="center"/>
      <protection locked="0"/>
    </xf>
    <xf numFmtId="0" fontId="7" fillId="10" borderId="29" xfId="2" applyFont="1" applyFill="1" applyBorder="1" applyAlignment="1" applyProtection="1">
      <alignment horizontal="center" vertical="center" wrapText="1"/>
      <protection locked="0"/>
    </xf>
    <xf numFmtId="0" fontId="7" fillId="10" borderId="31" xfId="2" applyFont="1" applyFill="1" applyBorder="1" applyAlignment="1" applyProtection="1">
      <alignment horizontal="center" vertical="center" wrapText="1"/>
      <protection locked="0"/>
    </xf>
    <xf numFmtId="0" fontId="7" fillId="10" borderId="2" xfId="2" applyFont="1" applyFill="1" applyBorder="1" applyAlignment="1" applyProtection="1">
      <alignment horizontal="center" vertical="center" wrapText="1"/>
      <protection locked="0"/>
    </xf>
    <xf numFmtId="0" fontId="7" fillId="10" borderId="32" xfId="2" applyFont="1" applyFill="1" applyBorder="1" applyAlignment="1" applyProtection="1">
      <alignment horizontal="center" vertical="center" wrapText="1"/>
      <protection locked="0"/>
    </xf>
    <xf numFmtId="0" fontId="7" fillId="10" borderId="80" xfId="2" applyFont="1" applyFill="1" applyBorder="1" applyAlignment="1" applyProtection="1">
      <alignment horizontal="center" vertical="center" wrapText="1"/>
      <protection locked="0"/>
    </xf>
    <xf numFmtId="0" fontId="7" fillId="10" borderId="81" xfId="2" applyFont="1" applyFill="1" applyBorder="1" applyAlignment="1" applyProtection="1">
      <alignment horizontal="center" vertical="center" wrapText="1"/>
      <protection locked="0"/>
    </xf>
    <xf numFmtId="0" fontId="49" fillId="17" borderId="105" xfId="4" applyFont="1" applyFill="1" applyBorder="1" applyAlignment="1" applyProtection="1">
      <alignment horizontal="center" vertical="top" wrapText="1"/>
    </xf>
    <xf numFmtId="0" fontId="49" fillId="17" borderId="106" xfId="4" applyFont="1" applyFill="1" applyBorder="1" applyAlignment="1" applyProtection="1">
      <alignment horizontal="center" vertical="top" wrapText="1"/>
    </xf>
    <xf numFmtId="0" fontId="49" fillId="17" borderId="2" xfId="4" applyFont="1" applyFill="1" applyBorder="1" applyAlignment="1" applyProtection="1">
      <alignment horizontal="center" vertical="top" wrapText="1"/>
    </xf>
    <xf numFmtId="0" fontId="49" fillId="17" borderId="32" xfId="4" applyFont="1" applyFill="1" applyBorder="1" applyAlignment="1" applyProtection="1">
      <alignment horizontal="center" vertical="top" wrapText="1"/>
    </xf>
    <xf numFmtId="0" fontId="49" fillId="17" borderId="98" xfId="4" applyFont="1" applyFill="1" applyBorder="1" applyAlignment="1" applyProtection="1">
      <alignment horizontal="center" vertical="top" wrapText="1"/>
    </xf>
    <xf numFmtId="0" fontId="49" fillId="17" borderId="99" xfId="4" applyFont="1" applyFill="1" applyBorder="1" applyAlignment="1" applyProtection="1">
      <alignment horizontal="center" vertical="top" wrapText="1"/>
    </xf>
    <xf numFmtId="0" fontId="17" fillId="8" borderId="10" xfId="0" applyFont="1" applyFill="1" applyBorder="1" applyAlignment="1" applyProtection="1">
      <alignment horizontal="left"/>
    </xf>
    <xf numFmtId="0" fontId="17" fillId="8" borderId="0" xfId="0" applyFont="1" applyFill="1" applyBorder="1" applyAlignment="1" applyProtection="1">
      <alignment horizontal="left"/>
    </xf>
    <xf numFmtId="0" fontId="17" fillId="8" borderId="3" xfId="0" applyFont="1" applyFill="1" applyBorder="1" applyAlignment="1" applyProtection="1">
      <alignment horizontal="left"/>
    </xf>
    <xf numFmtId="0" fontId="76" fillId="16" borderId="45" xfId="4" applyFont="1" applyFill="1" applyBorder="1" applyAlignment="1" applyProtection="1">
      <alignment horizontal="center" vertical="top"/>
    </xf>
    <xf numFmtId="0" fontId="76" fillId="16" borderId="102" xfId="4" applyFont="1" applyFill="1" applyBorder="1" applyAlignment="1" applyProtection="1">
      <alignment horizontal="center" vertical="top"/>
    </xf>
    <xf numFmtId="0" fontId="7" fillId="10" borderId="103" xfId="2" applyFont="1" applyFill="1" applyBorder="1" applyAlignment="1" applyProtection="1">
      <alignment horizontal="center"/>
      <protection locked="0"/>
    </xf>
    <xf numFmtId="0" fontId="7" fillId="10" borderId="104" xfId="2" applyFont="1" applyFill="1" applyBorder="1" applyAlignment="1" applyProtection="1">
      <alignment horizontal="center"/>
      <protection locked="0"/>
    </xf>
    <xf numFmtId="0" fontId="7" fillId="10" borderId="33" xfId="2" applyFont="1" applyFill="1" applyBorder="1" applyAlignment="1" applyProtection="1">
      <alignment horizontal="center"/>
      <protection locked="0"/>
    </xf>
    <xf numFmtId="0" fontId="7" fillId="10" borderId="34" xfId="2" applyFont="1" applyFill="1" applyBorder="1" applyAlignment="1" applyProtection="1">
      <alignment horizontal="center"/>
      <protection locked="0"/>
    </xf>
    <xf numFmtId="1" fontId="2" fillId="15" borderId="33" xfId="14" applyNumberFormat="1" applyFont="1" applyFill="1" applyBorder="1" applyAlignment="1" applyProtection="1">
      <alignment horizontal="center"/>
    </xf>
    <xf numFmtId="1" fontId="2" fillId="15" borderId="34" xfId="14" applyNumberFormat="1" applyFont="1" applyFill="1" applyBorder="1" applyAlignment="1" applyProtection="1">
      <alignment horizontal="center"/>
    </xf>
    <xf numFmtId="164" fontId="2" fillId="15" borderId="33" xfId="14" applyNumberFormat="1" applyFont="1" applyFill="1" applyBorder="1" applyAlignment="1" applyProtection="1">
      <alignment horizontal="center"/>
    </xf>
    <xf numFmtId="164" fontId="2" fillId="15" borderId="34" xfId="14" applyNumberFormat="1" applyFont="1" applyFill="1" applyBorder="1" applyAlignment="1" applyProtection="1">
      <alignment horizontal="center"/>
    </xf>
    <xf numFmtId="0" fontId="76" fillId="16" borderId="95" xfId="4" applyFont="1" applyFill="1" applyBorder="1" applyAlignment="1" applyProtection="1">
      <alignment horizontal="left" vertical="top"/>
    </xf>
    <xf numFmtId="0" fontId="49" fillId="17" borderId="98" xfId="4" applyFont="1" applyFill="1" applyBorder="1" applyAlignment="1" applyProtection="1">
      <alignment horizontal="left" vertical="top" wrapText="1"/>
    </xf>
    <xf numFmtId="0" fontId="49" fillId="17" borderId="99" xfId="4" applyFont="1" applyFill="1" applyBorder="1" applyAlignment="1" applyProtection="1">
      <alignment horizontal="left" vertical="top" wrapText="1"/>
    </xf>
    <xf numFmtId="0" fontId="49" fillId="17" borderId="97" xfId="4" applyFont="1" applyFill="1" applyBorder="1" applyAlignment="1" applyProtection="1">
      <alignment horizontal="left" vertical="top" wrapText="1"/>
    </xf>
    <xf numFmtId="0" fontId="49" fillId="17" borderId="85" xfId="4" applyFont="1" applyFill="1" applyBorder="1" applyAlignment="1" applyProtection="1">
      <alignment horizontal="left" vertical="top" wrapText="1"/>
    </xf>
    <xf numFmtId="0" fontId="17" fillId="8" borderId="4" xfId="0" applyFont="1" applyFill="1" applyBorder="1" applyAlignment="1" applyProtection="1">
      <alignment horizontal="left" vertical="top"/>
      <protection locked="0"/>
    </xf>
    <xf numFmtId="0" fontId="17" fillId="8" borderId="5" xfId="0" applyFont="1" applyFill="1" applyBorder="1" applyAlignment="1" applyProtection="1">
      <alignment horizontal="left" vertical="top"/>
      <protection locked="0"/>
    </xf>
    <xf numFmtId="0" fontId="17" fillId="8" borderId="6" xfId="0" applyFont="1" applyFill="1" applyBorder="1" applyAlignment="1" applyProtection="1">
      <alignment horizontal="left" vertical="top"/>
      <protection locked="0"/>
    </xf>
    <xf numFmtId="0" fontId="17" fillId="8" borderId="10" xfId="0" applyFont="1" applyFill="1" applyBorder="1" applyAlignment="1" applyProtection="1">
      <alignment horizontal="left" vertical="top"/>
      <protection locked="0"/>
    </xf>
    <xf numFmtId="0" fontId="17" fillId="8" borderId="0" xfId="0" applyFont="1" applyFill="1" applyBorder="1" applyAlignment="1" applyProtection="1">
      <alignment horizontal="left" vertical="top"/>
      <protection locked="0"/>
    </xf>
    <xf numFmtId="0" fontId="17" fillId="8" borderId="3" xfId="0" applyFont="1" applyFill="1" applyBorder="1" applyAlignment="1" applyProtection="1">
      <alignment horizontal="left" vertical="top"/>
      <protection locked="0"/>
    </xf>
    <xf numFmtId="0" fontId="17" fillId="8" borderId="7" xfId="0" applyFont="1" applyFill="1" applyBorder="1" applyAlignment="1" applyProtection="1">
      <alignment horizontal="left" vertical="top"/>
      <protection locked="0"/>
    </xf>
    <xf numFmtId="0" fontId="17" fillId="8" borderId="8" xfId="0" applyFont="1" applyFill="1" applyBorder="1" applyAlignment="1" applyProtection="1">
      <alignment horizontal="left" vertical="top"/>
      <protection locked="0"/>
    </xf>
    <xf numFmtId="0" fontId="17" fillId="8" borderId="9" xfId="0" applyFont="1" applyFill="1" applyBorder="1" applyAlignment="1" applyProtection="1">
      <alignment horizontal="left" vertical="top"/>
      <protection locked="0"/>
    </xf>
    <xf numFmtId="164" fontId="2" fillId="15" borderId="33" xfId="14" applyNumberFormat="1" applyFont="1" applyFill="1" applyBorder="1" applyAlignment="1" applyProtection="1">
      <alignment horizontal="center" vertical="top"/>
    </xf>
    <xf numFmtId="164" fontId="2" fillId="15" borderId="34" xfId="14" applyNumberFormat="1" applyFont="1" applyFill="1" applyBorder="1" applyAlignment="1" applyProtection="1">
      <alignment horizontal="center" vertical="top"/>
    </xf>
    <xf numFmtId="2" fontId="5" fillId="15" borderId="93" xfId="14" applyNumberFormat="1" applyFont="1" applyFill="1" applyBorder="1" applyAlignment="1" applyProtection="1">
      <alignment horizontal="center"/>
      <protection locked="0"/>
    </xf>
    <xf numFmtId="2" fontId="5" fillId="15" borderId="94" xfId="14" applyNumberFormat="1" applyFont="1" applyFill="1" applyBorder="1" applyAlignment="1" applyProtection="1">
      <alignment horizontal="center"/>
      <protection locked="0"/>
    </xf>
    <xf numFmtId="0" fontId="49" fillId="25" borderId="33" xfId="4" applyFont="1" applyFill="1" applyBorder="1" applyAlignment="1" applyProtection="1">
      <alignment horizontal="center" wrapText="1"/>
      <protection locked="0"/>
    </xf>
    <xf numFmtId="0" fontId="49" fillId="25" borderId="13" xfId="4" applyFont="1" applyFill="1" applyBorder="1" applyAlignment="1" applyProtection="1">
      <alignment horizontal="center" wrapText="1"/>
      <protection locked="0"/>
    </xf>
    <xf numFmtId="0" fontId="49" fillId="25" borderId="100" xfId="4" applyFont="1" applyFill="1" applyBorder="1" applyAlignment="1" applyProtection="1">
      <alignment horizontal="center" wrapText="1"/>
      <protection locked="0"/>
    </xf>
    <xf numFmtId="0" fontId="76" fillId="16" borderId="91" xfId="4" applyFont="1" applyFill="1" applyBorder="1" applyAlignment="1" applyProtection="1">
      <alignment horizontal="center" vertical="top"/>
    </xf>
    <xf numFmtId="0" fontId="76" fillId="16" borderId="92" xfId="4" applyFont="1" applyFill="1" applyBorder="1" applyAlignment="1" applyProtection="1">
      <alignment horizontal="center" vertical="top"/>
    </xf>
    <xf numFmtId="0" fontId="76" fillId="16" borderId="88" xfId="4" applyFont="1" applyFill="1" applyBorder="1" applyAlignment="1" applyProtection="1">
      <alignment horizontal="center" vertical="top"/>
    </xf>
    <xf numFmtId="0" fontId="76" fillId="16" borderId="89" xfId="4" applyFont="1" applyFill="1" applyBorder="1" applyAlignment="1" applyProtection="1">
      <alignment horizontal="center" vertical="top"/>
    </xf>
    <xf numFmtId="0" fontId="76" fillId="16" borderId="101" xfId="4" applyFont="1" applyFill="1" applyBorder="1" applyAlignment="1" applyProtection="1">
      <alignment horizontal="center" vertical="top"/>
    </xf>
    <xf numFmtId="0" fontId="7" fillId="10" borderId="1" xfId="2" applyFont="1" applyFill="1" applyBorder="1" applyAlignment="1" applyProtection="1">
      <alignment horizontal="center"/>
      <protection locked="0"/>
    </xf>
    <xf numFmtId="0" fontId="49" fillId="17" borderId="98" xfId="4" applyFont="1" applyFill="1" applyBorder="1" applyAlignment="1" applyProtection="1">
      <alignment horizontal="left" vertical="top"/>
    </xf>
    <xf numFmtId="0" fontId="49" fillId="17" borderId="99" xfId="4" applyFont="1" applyFill="1" applyBorder="1" applyAlignment="1" applyProtection="1">
      <alignment horizontal="left" vertical="top"/>
    </xf>
    <xf numFmtId="0" fontId="17" fillId="8" borderId="10" xfId="0" applyFont="1" applyFill="1" applyBorder="1" applyAlignment="1" applyProtection="1">
      <alignment horizontal="left" wrapText="1"/>
    </xf>
    <xf numFmtId="0" fontId="17" fillId="8" borderId="0" xfId="0" applyFont="1" applyFill="1" applyBorder="1" applyAlignment="1" applyProtection="1">
      <alignment horizontal="left" wrapText="1"/>
    </xf>
    <xf numFmtId="0" fontId="17" fillId="8" borderId="3" xfId="0" applyFont="1" applyFill="1" applyBorder="1" applyAlignment="1" applyProtection="1">
      <alignment horizontal="left" wrapText="1"/>
    </xf>
    <xf numFmtId="0" fontId="76" fillId="16" borderId="90" xfId="4" applyFont="1" applyFill="1" applyBorder="1" applyAlignment="1" applyProtection="1">
      <alignment horizontal="center" vertical="top"/>
    </xf>
    <xf numFmtId="1" fontId="77" fillId="15" borderId="33" xfId="14" applyNumberFormat="1" applyFont="1" applyFill="1" applyBorder="1" applyAlignment="1" applyProtection="1">
      <alignment horizontal="center" vertical="top"/>
    </xf>
    <xf numFmtId="1" fontId="77" fillId="15" borderId="34" xfId="14" applyNumberFormat="1" applyFont="1" applyFill="1" applyBorder="1" applyAlignment="1" applyProtection="1">
      <alignment horizontal="center" vertical="top"/>
    </xf>
    <xf numFmtId="0" fontId="76" fillId="16" borderId="96" xfId="4" applyFont="1" applyFill="1" applyBorder="1" applyAlignment="1" applyProtection="1">
      <alignment horizontal="center" vertical="top"/>
    </xf>
    <xf numFmtId="0" fontId="64" fillId="16" borderId="88" xfId="4" applyFont="1" applyFill="1" applyBorder="1" applyAlignment="1" applyProtection="1">
      <alignment horizontal="center"/>
    </xf>
    <xf numFmtId="0" fontId="64" fillId="16" borderId="89" xfId="4" applyFont="1" applyFill="1" applyBorder="1" applyAlignment="1" applyProtection="1">
      <alignment horizontal="center"/>
    </xf>
    <xf numFmtId="0" fontId="64" fillId="16" borderId="90" xfId="4" applyFont="1" applyFill="1" applyBorder="1" applyAlignment="1" applyProtection="1">
      <alignment horizontal="center"/>
    </xf>
    <xf numFmtId="0" fontId="64" fillId="25" borderId="33" xfId="4" applyFont="1" applyFill="1" applyBorder="1" applyAlignment="1" applyProtection="1">
      <alignment horizontal="center" wrapText="1"/>
      <protection locked="0"/>
    </xf>
    <xf numFmtId="0" fontId="64" fillId="25" borderId="13" xfId="4" applyFont="1" applyFill="1" applyBorder="1" applyAlignment="1" applyProtection="1">
      <alignment horizontal="center" wrapText="1"/>
      <protection locked="0"/>
    </xf>
    <xf numFmtId="0" fontId="64" fillId="25" borderId="34" xfId="4" applyFont="1" applyFill="1" applyBorder="1" applyAlignment="1" applyProtection="1">
      <alignment horizontal="center" wrapText="1"/>
      <protection locked="0"/>
    </xf>
    <xf numFmtId="2" fontId="7" fillId="10" borderId="33" xfId="2" applyNumberFormat="1" applyFont="1" applyFill="1" applyBorder="1" applyAlignment="1" applyProtection="1">
      <alignment horizontal="center"/>
      <protection locked="0"/>
    </xf>
    <xf numFmtId="2" fontId="7" fillId="10" borderId="34" xfId="2" applyNumberFormat="1" applyFont="1" applyFill="1" applyBorder="1" applyAlignment="1" applyProtection="1">
      <alignment horizontal="center"/>
      <protection locked="0"/>
    </xf>
    <xf numFmtId="2" fontId="7" fillId="10" borderId="1" xfId="2" applyNumberFormat="1" applyFont="1" applyFill="1" applyBorder="1" applyAlignment="1" applyProtection="1">
      <alignment horizontal="center"/>
      <protection locked="0"/>
    </xf>
    <xf numFmtId="0" fontId="6" fillId="8" borderId="84" xfId="0" applyFont="1" applyFill="1" applyBorder="1" applyAlignment="1" applyProtection="1">
      <alignment horizontal="center" vertical="top"/>
    </xf>
    <xf numFmtId="0" fontId="6" fillId="8" borderId="4" xfId="0" applyFont="1" applyFill="1" applyBorder="1" applyAlignment="1" applyProtection="1">
      <alignment horizontal="center"/>
    </xf>
    <xf numFmtId="0" fontId="6" fillId="8" borderId="84" xfId="0" applyFont="1" applyFill="1" applyBorder="1" applyAlignment="1" applyProtection="1">
      <alignment horizontal="center"/>
    </xf>
    <xf numFmtId="0" fontId="6" fillId="8" borderId="84" xfId="0" applyFont="1" applyFill="1" applyBorder="1" applyAlignment="1" applyProtection="1">
      <alignment horizontal="center" vertical="center"/>
    </xf>
    <xf numFmtId="0" fontId="7" fillId="8" borderId="0" xfId="4" applyFont="1" applyFill="1" applyBorder="1" applyAlignment="1" applyProtection="1">
      <alignment horizontal="center" vertical="center" wrapText="1"/>
    </xf>
    <xf numFmtId="0" fontId="7" fillId="8" borderId="82" xfId="4" applyFont="1" applyFill="1" applyBorder="1" applyAlignment="1" applyProtection="1">
      <alignment horizontal="center" vertical="center" wrapText="1"/>
    </xf>
    <xf numFmtId="0" fontId="6" fillId="8" borderId="0" xfId="0" applyFont="1" applyFill="1" applyBorder="1" applyAlignment="1" applyProtection="1">
      <alignment horizontal="center" wrapText="1"/>
    </xf>
    <xf numFmtId="0" fontId="2" fillId="8" borderId="0" xfId="0" applyFont="1" applyFill="1" applyBorder="1" applyAlignment="1" applyProtection="1">
      <alignment horizontal="left" vertical="center"/>
    </xf>
    <xf numFmtId="0" fontId="2" fillId="8" borderId="3" xfId="0" applyFont="1" applyFill="1" applyBorder="1" applyAlignment="1" applyProtection="1">
      <alignment horizontal="left" vertical="center"/>
    </xf>
    <xf numFmtId="0" fontId="6" fillId="8" borderId="0" xfId="0" applyFont="1" applyFill="1" applyBorder="1" applyAlignment="1" applyProtection="1">
      <alignment horizontal="left"/>
    </xf>
    <xf numFmtId="0" fontId="8" fillId="10" borderId="24" xfId="4" applyFont="1" applyFill="1" applyBorder="1" applyAlignment="1" applyProtection="1">
      <alignment horizontal="center"/>
      <protection locked="0"/>
    </xf>
    <xf numFmtId="0" fontId="8" fillId="10" borderId="26" xfId="4" applyFont="1" applyFill="1" applyBorder="1" applyAlignment="1" applyProtection="1">
      <alignment horizontal="center"/>
      <protection locked="0"/>
    </xf>
    <xf numFmtId="0" fontId="8" fillId="10" borderId="33" xfId="4" applyFont="1" applyFill="1" applyBorder="1" applyAlignment="1" applyProtection="1">
      <alignment horizontal="center"/>
      <protection locked="0"/>
    </xf>
    <xf numFmtId="0" fontId="8" fillId="10" borderId="38" xfId="4" applyFont="1" applyFill="1" applyBorder="1" applyAlignment="1" applyProtection="1">
      <alignment horizontal="center"/>
      <protection locked="0"/>
    </xf>
    <xf numFmtId="0" fontId="8" fillId="10" borderId="23" xfId="4" applyNumberFormat="1" applyFont="1" applyFill="1" applyBorder="1" applyAlignment="1" applyProtection="1">
      <alignment horizontal="center"/>
      <protection locked="0"/>
    </xf>
    <xf numFmtId="0" fontId="8" fillId="10" borderId="28" xfId="4" applyNumberFormat="1" applyFont="1" applyFill="1" applyBorder="1" applyAlignment="1" applyProtection="1">
      <alignment horizontal="center"/>
      <protection locked="0"/>
    </xf>
    <xf numFmtId="0" fontId="2" fillId="8" borderId="0" xfId="0" applyFont="1" applyFill="1" applyBorder="1" applyAlignment="1" applyProtection="1">
      <alignment horizontal="center" wrapText="1"/>
    </xf>
    <xf numFmtId="0" fontId="17" fillId="15" borderId="17" xfId="7" applyFont="1" applyFill="1" applyBorder="1" applyAlignment="1" applyProtection="1">
      <alignment horizontal="center"/>
    </xf>
    <xf numFmtId="0" fontId="17" fillId="15" borderId="70" xfId="7" applyFont="1" applyFill="1" applyBorder="1" applyAlignment="1" applyProtection="1">
      <alignment horizontal="center"/>
    </xf>
    <xf numFmtId="0" fontId="17" fillId="15" borderId="20" xfId="7" applyFont="1" applyFill="1" applyBorder="1" applyAlignment="1" applyProtection="1">
      <alignment horizontal="center"/>
    </xf>
    <xf numFmtId="0" fontId="17" fillId="15" borderId="1" xfId="7" applyFont="1" applyFill="1" applyBorder="1" applyAlignment="1" applyProtection="1">
      <alignment horizontal="center"/>
    </xf>
    <xf numFmtId="0" fontId="6" fillId="8" borderId="0" xfId="0" applyFont="1" applyFill="1" applyBorder="1" applyAlignment="1" applyProtection="1">
      <alignment horizontal="left" vertical="top"/>
    </xf>
    <xf numFmtId="0" fontId="36" fillId="15" borderId="44" xfId="7" applyFont="1" applyFill="1" applyBorder="1" applyAlignment="1" applyProtection="1">
      <alignment horizontal="left" vertical="center" wrapText="1"/>
    </xf>
    <xf numFmtId="0" fontId="36" fillId="15" borderId="30" xfId="7" applyFont="1" applyFill="1" applyBorder="1" applyAlignment="1" applyProtection="1">
      <alignment horizontal="left" vertical="center" wrapText="1"/>
    </xf>
    <xf numFmtId="0" fontId="36" fillId="15" borderId="31" xfId="7" applyFont="1" applyFill="1" applyBorder="1" applyAlignment="1" applyProtection="1">
      <alignment horizontal="left" vertical="center" wrapText="1"/>
    </xf>
    <xf numFmtId="0" fontId="17" fillId="8" borderId="37" xfId="7" applyFont="1" applyFill="1" applyBorder="1" applyAlignment="1" applyProtection="1">
      <alignment horizontal="left" vertical="center"/>
    </xf>
    <xf numFmtId="0" fontId="17" fillId="8" borderId="13" xfId="7" applyFont="1" applyFill="1" applyBorder="1" applyAlignment="1" applyProtection="1">
      <alignment horizontal="left" vertical="center"/>
    </xf>
    <xf numFmtId="0" fontId="17" fillId="8" borderId="34" xfId="7" applyFont="1" applyFill="1" applyBorder="1" applyAlignment="1" applyProtection="1">
      <alignment horizontal="left" vertical="center"/>
    </xf>
    <xf numFmtId="0" fontId="17" fillId="15" borderId="18" xfId="7" applyFont="1" applyFill="1" applyBorder="1" applyAlignment="1" applyProtection="1">
      <alignment horizontal="center"/>
    </xf>
    <xf numFmtId="0" fontId="17" fillId="15" borderId="65" xfId="7" applyFont="1" applyFill="1" applyBorder="1" applyAlignment="1" applyProtection="1">
      <alignment horizontal="center"/>
    </xf>
    <xf numFmtId="0" fontId="17" fillId="26" borderId="37" xfId="7" applyFont="1" applyFill="1" applyBorder="1" applyAlignment="1" applyProtection="1">
      <alignment horizontal="left" vertical="center"/>
    </xf>
    <xf numFmtId="0" fontId="17" fillId="26" borderId="13" xfId="7" applyFont="1" applyFill="1" applyBorder="1" applyAlignment="1" applyProtection="1">
      <alignment horizontal="left" vertical="center"/>
    </xf>
    <xf numFmtId="0" fontId="17" fillId="26" borderId="34" xfId="7" applyFont="1" applyFill="1" applyBorder="1" applyAlignment="1" applyProtection="1">
      <alignment horizontal="left" vertical="center"/>
    </xf>
    <xf numFmtId="0" fontId="17" fillId="13" borderId="19" xfId="7" applyFont="1" applyFill="1" applyBorder="1" applyAlignment="1" applyProtection="1">
      <alignment horizontal="center" vertical="center" wrapText="1"/>
    </xf>
    <xf numFmtId="0" fontId="17" fillId="13" borderId="11" xfId="7" applyFont="1" applyFill="1" applyBorder="1" applyAlignment="1" applyProtection="1">
      <alignment horizontal="center" vertical="center" wrapText="1"/>
    </xf>
    <xf numFmtId="0" fontId="17" fillId="13" borderId="22" xfId="7" applyFont="1" applyFill="1" applyBorder="1" applyAlignment="1" applyProtection="1">
      <alignment horizontal="center" vertical="center" wrapText="1"/>
    </xf>
    <xf numFmtId="0" fontId="17" fillId="13" borderId="43" xfId="7" applyFont="1" applyFill="1" applyBorder="1" applyAlignment="1" applyProtection="1">
      <alignment horizontal="center" vertical="center" wrapText="1"/>
    </xf>
    <xf numFmtId="0" fontId="17" fillId="8" borderId="0" xfId="7" applyFont="1" applyFill="1" applyBorder="1" applyAlignment="1" applyProtection="1">
      <alignment horizontal="right"/>
    </xf>
    <xf numFmtId="0" fontId="17" fillId="8" borderId="3" xfId="7" applyFont="1" applyFill="1" applyBorder="1" applyAlignment="1" applyProtection="1">
      <alignment horizontal="right"/>
    </xf>
    <xf numFmtId="0" fontId="6" fillId="8" borderId="0" xfId="0" applyFont="1" applyFill="1" applyBorder="1" applyAlignment="1" applyProtection="1">
      <alignment horizontal="left" vertical="center"/>
    </xf>
    <xf numFmtId="0" fontId="17" fillId="15" borderId="62" xfId="7" applyFont="1" applyFill="1" applyBorder="1" applyAlignment="1" applyProtection="1">
      <alignment horizontal="center" vertical="center" wrapText="1"/>
    </xf>
    <xf numFmtId="0" fontId="17" fillId="15" borderId="63" xfId="7" applyFont="1" applyFill="1" applyBorder="1" applyAlignment="1" applyProtection="1">
      <alignment horizontal="center" vertical="center" wrapText="1"/>
    </xf>
    <xf numFmtId="0" fontId="17" fillId="15" borderId="61" xfId="7" applyFont="1" applyFill="1" applyBorder="1" applyAlignment="1" applyProtection="1">
      <alignment horizontal="center" vertical="center" wrapText="1"/>
    </xf>
    <xf numFmtId="0" fontId="17" fillId="15" borderId="11" xfId="7" applyFont="1" applyFill="1" applyBorder="1" applyAlignment="1" applyProtection="1">
      <alignment horizontal="center" vertical="center" wrapText="1"/>
    </xf>
    <xf numFmtId="0" fontId="6" fillId="8" borderId="10" xfId="0" applyFont="1" applyFill="1" applyBorder="1" applyAlignment="1" applyProtection="1">
      <alignment horizontal="left" vertical="top"/>
    </xf>
    <xf numFmtId="0" fontId="6" fillId="8" borderId="69" xfId="0" applyFont="1" applyFill="1" applyBorder="1" applyAlignment="1" applyProtection="1">
      <alignment horizontal="left" vertical="top"/>
    </xf>
    <xf numFmtId="0" fontId="6" fillId="8" borderId="10" xfId="0" applyFont="1" applyFill="1" applyBorder="1" applyAlignment="1" applyProtection="1">
      <alignment horizontal="left" vertical="center"/>
    </xf>
    <xf numFmtId="0" fontId="64" fillId="17" borderId="109" xfId="4" applyFont="1" applyFill="1" applyBorder="1" applyAlignment="1" applyProtection="1">
      <alignment horizontal="left" vertical="top" wrapText="1"/>
    </xf>
    <xf numFmtId="0" fontId="64" fillId="17" borderId="110" xfId="4" applyFont="1" applyFill="1" applyBorder="1" applyAlignment="1" applyProtection="1">
      <alignment horizontal="left" vertical="top" wrapText="1"/>
    </xf>
    <xf numFmtId="0" fontId="64" fillId="17" borderId="112" xfId="4" applyFont="1" applyFill="1" applyBorder="1" applyAlignment="1" applyProtection="1">
      <alignment horizontal="left" vertical="top" wrapText="1"/>
    </xf>
    <xf numFmtId="0" fontId="64" fillId="17" borderId="113" xfId="4" applyFont="1" applyFill="1" applyBorder="1" applyAlignment="1" applyProtection="1">
      <alignment horizontal="left" vertical="top" wrapText="1"/>
    </xf>
    <xf numFmtId="0" fontId="64" fillId="17" borderId="118" xfId="4" applyFont="1" applyFill="1" applyBorder="1" applyAlignment="1" applyProtection="1">
      <alignment horizontal="left" vertical="top" wrapText="1"/>
    </xf>
    <xf numFmtId="0" fontId="64" fillId="17" borderId="119" xfId="4" applyFont="1" applyFill="1" applyBorder="1" applyAlignment="1" applyProtection="1">
      <alignment horizontal="left" vertical="top" wrapText="1"/>
    </xf>
    <xf numFmtId="0" fontId="64" fillId="27" borderId="19" xfId="4" applyFont="1" applyFill="1" applyBorder="1" applyAlignment="1" applyProtection="1">
      <alignment horizontal="center" vertical="center" wrapText="1"/>
      <protection locked="0"/>
    </xf>
    <xf numFmtId="0" fontId="64" fillId="27" borderId="121" xfId="4" applyFont="1" applyFill="1" applyBorder="1" applyAlignment="1" applyProtection="1">
      <alignment horizontal="center" vertical="center" wrapText="1"/>
      <protection locked="0"/>
    </xf>
    <xf numFmtId="0" fontId="64" fillId="27" borderId="122" xfId="4" applyFont="1" applyFill="1" applyBorder="1" applyAlignment="1" applyProtection="1">
      <alignment horizontal="center" vertical="center" wrapText="1"/>
      <protection locked="0"/>
    </xf>
    <xf numFmtId="0" fontId="63" fillId="16" borderId="49" xfId="4" applyFont="1" applyFill="1" applyBorder="1" applyAlignment="1" applyProtection="1">
      <alignment horizontal="center" vertical="top"/>
    </xf>
    <xf numFmtId="0" fontId="63" fillId="16" borderId="0" xfId="4" applyFont="1" applyFill="1" applyBorder="1" applyAlignment="1" applyProtection="1">
      <alignment horizontal="center" vertical="top"/>
    </xf>
    <xf numFmtId="0" fontId="63" fillId="16" borderId="107" xfId="4" applyFont="1" applyFill="1" applyBorder="1" applyAlignment="1" applyProtection="1">
      <alignment horizontal="center" vertical="top"/>
    </xf>
    <xf numFmtId="0" fontId="64" fillId="17" borderId="112" xfId="4" applyFont="1" applyFill="1" applyBorder="1" applyAlignment="1" applyProtection="1">
      <alignment horizontal="center" vertical="top" wrapText="1"/>
    </xf>
    <xf numFmtId="0" fontId="64" fillId="17" borderId="113" xfId="4" applyFont="1" applyFill="1" applyBorder="1" applyAlignment="1" applyProtection="1">
      <alignment horizontal="center" vertical="top" wrapText="1"/>
    </xf>
    <xf numFmtId="0" fontId="64" fillId="17" borderId="118" xfId="4" applyFont="1" applyFill="1" applyBorder="1" applyAlignment="1" applyProtection="1">
      <alignment horizontal="center" vertical="top" wrapText="1"/>
    </xf>
    <xf numFmtId="0" fontId="64" fillId="17" borderId="119" xfId="4" applyFont="1" applyFill="1" applyBorder="1" applyAlignment="1" applyProtection="1">
      <alignment horizontal="center" vertical="top" wrapText="1"/>
    </xf>
    <xf numFmtId="0" fontId="64" fillId="17" borderId="109" xfId="4" applyFont="1" applyFill="1" applyBorder="1" applyAlignment="1" applyProtection="1">
      <alignment horizontal="center" vertical="top" wrapText="1"/>
    </xf>
    <xf numFmtId="0" fontId="64" fillId="17" borderId="110" xfId="4" applyFont="1" applyFill="1" applyBorder="1" applyAlignment="1" applyProtection="1">
      <alignment horizontal="center" vertical="top" wrapText="1"/>
    </xf>
    <xf numFmtId="0" fontId="64" fillId="17" borderId="115" xfId="4" applyFont="1" applyFill="1" applyBorder="1" applyAlignment="1" applyProtection="1">
      <alignment horizontal="left" vertical="top" wrapText="1"/>
    </xf>
    <xf numFmtId="0" fontId="64" fillId="17" borderId="116" xfId="4" applyFont="1" applyFill="1" applyBorder="1" applyAlignment="1" applyProtection="1">
      <alignment horizontal="left" vertical="top" wrapText="1"/>
    </xf>
    <xf numFmtId="0" fontId="34" fillId="0" borderId="0" xfId="0" applyFont="1" applyBorder="1" applyAlignment="1" applyProtection="1">
      <alignment horizontal="center"/>
    </xf>
    <xf numFmtId="0" fontId="63" fillId="16" borderId="51" xfId="4" applyFont="1" applyFill="1" applyBorder="1" applyAlignment="1" applyProtection="1">
      <alignment horizontal="center" vertical="top"/>
    </xf>
    <xf numFmtId="0" fontId="63" fillId="16" borderId="127" xfId="4" applyFont="1" applyFill="1" applyBorder="1" applyAlignment="1" applyProtection="1">
      <alignment horizontal="center" vertical="top"/>
    </xf>
    <xf numFmtId="0" fontId="63" fillId="16" borderId="52" xfId="4" applyFont="1" applyFill="1" applyBorder="1" applyAlignment="1" applyProtection="1">
      <alignment horizontal="center" vertical="top"/>
    </xf>
    <xf numFmtId="0" fontId="64" fillId="17" borderId="0" xfId="4" applyFont="1" applyFill="1" applyBorder="1" applyAlignment="1" applyProtection="1">
      <alignment horizontal="left" vertical="top" wrapText="1"/>
    </xf>
    <xf numFmtId="0" fontId="64" fillId="17" borderId="32" xfId="4" applyFont="1" applyFill="1" applyBorder="1" applyAlignment="1" applyProtection="1">
      <alignment horizontal="left" vertical="top" wrapText="1"/>
    </xf>
    <xf numFmtId="0" fontId="63" fillId="16" borderId="126" xfId="4" applyFont="1" applyFill="1" applyBorder="1" applyAlignment="1" applyProtection="1">
      <alignment horizontal="center" vertical="top"/>
    </xf>
    <xf numFmtId="0" fontId="63" fillId="16" borderId="124" xfId="4" applyFont="1" applyFill="1" applyBorder="1" applyAlignment="1" applyProtection="1">
      <alignment horizontal="center" vertical="top"/>
    </xf>
    <xf numFmtId="0" fontId="63" fillId="16" borderId="125" xfId="4" applyFont="1" applyFill="1" applyBorder="1" applyAlignment="1" applyProtection="1">
      <alignment horizontal="center" vertical="top"/>
    </xf>
    <xf numFmtId="0" fontId="64" fillId="17" borderId="131" xfId="4" applyFont="1" applyFill="1" applyBorder="1" applyAlignment="1" applyProtection="1">
      <alignment horizontal="left" wrapText="1"/>
    </xf>
    <xf numFmtId="0" fontId="64" fillId="17" borderId="132" xfId="4" applyFont="1" applyFill="1" applyBorder="1" applyAlignment="1" applyProtection="1">
      <alignment horizontal="left" wrapText="1"/>
    </xf>
    <xf numFmtId="0" fontId="64" fillId="17" borderId="133" xfId="4" applyFont="1" applyFill="1" applyBorder="1" applyAlignment="1" applyProtection="1">
      <alignment horizontal="left" wrapText="1"/>
    </xf>
    <xf numFmtId="0" fontId="64" fillId="17" borderId="134" xfId="4" applyFont="1" applyFill="1" applyBorder="1" applyAlignment="1" applyProtection="1">
      <alignment horizontal="left" wrapText="1"/>
    </xf>
    <xf numFmtId="0" fontId="64" fillId="17" borderId="128" xfId="4" applyFont="1" applyFill="1" applyBorder="1" applyAlignment="1" applyProtection="1">
      <alignment horizontal="center" wrapText="1"/>
    </xf>
    <xf numFmtId="0" fontId="64" fillId="17" borderId="129" xfId="4" applyFont="1" applyFill="1" applyBorder="1" applyAlignment="1" applyProtection="1">
      <alignment horizontal="center" wrapText="1"/>
    </xf>
    <xf numFmtId="0" fontId="64" fillId="17" borderId="137" xfId="4" applyFont="1" applyFill="1" applyBorder="1" applyAlignment="1" applyProtection="1">
      <alignment horizontal="center" wrapText="1"/>
      <protection locked="0"/>
    </xf>
    <xf numFmtId="0" fontId="64" fillId="17" borderId="138" xfId="4" applyFont="1" applyFill="1" applyBorder="1" applyAlignment="1" applyProtection="1">
      <alignment horizontal="center" wrapText="1"/>
      <protection locked="0"/>
    </xf>
    <xf numFmtId="0" fontId="64" fillId="17" borderId="141" xfId="4" applyFont="1" applyFill="1" applyBorder="1" applyAlignment="1" applyProtection="1">
      <alignment horizontal="center" wrapText="1"/>
      <protection locked="0"/>
    </xf>
    <xf numFmtId="0" fontId="64" fillId="17" borderId="142" xfId="4" applyFont="1" applyFill="1" applyBorder="1" applyAlignment="1" applyProtection="1">
      <alignment horizontal="center" wrapText="1"/>
      <protection locked="0"/>
    </xf>
    <xf numFmtId="0" fontId="64" fillId="17" borderId="135" xfId="4" applyFont="1" applyFill="1" applyBorder="1" applyAlignment="1" applyProtection="1">
      <alignment horizontal="left" wrapText="1"/>
    </xf>
    <xf numFmtId="0" fontId="64" fillId="17" borderId="136" xfId="4" applyFont="1" applyFill="1" applyBorder="1" applyAlignment="1" applyProtection="1">
      <alignment horizontal="left" wrapText="1"/>
    </xf>
    <xf numFmtId="0" fontId="37" fillId="15" borderId="33" xfId="15" applyFill="1" applyBorder="1" applyAlignment="1">
      <alignment horizontal="center"/>
    </xf>
    <xf numFmtId="0" fontId="37" fillId="15" borderId="34" xfId="15" applyFill="1" applyBorder="1" applyAlignment="1">
      <alignment horizontal="center"/>
    </xf>
    <xf numFmtId="0" fontId="37" fillId="0" borderId="33" xfId="15" applyBorder="1" applyAlignment="1">
      <alignment horizontal="center"/>
    </xf>
    <xf numFmtId="0" fontId="37" fillId="0" borderId="34" xfId="15" applyBorder="1" applyAlignment="1">
      <alignment horizontal="center"/>
    </xf>
    <xf numFmtId="164" fontId="5" fillId="15" borderId="1" xfId="0" applyNumberFormat="1" applyFont="1" applyFill="1" applyBorder="1" applyAlignment="1" applyProtection="1">
      <alignment horizontal="center"/>
    </xf>
    <xf numFmtId="1" fontId="37" fillId="15" borderId="33" xfId="15" applyNumberFormat="1" applyFill="1" applyBorder="1" applyAlignment="1">
      <alignment horizontal="center" wrapText="1"/>
    </xf>
    <xf numFmtId="1" fontId="37" fillId="15" borderId="13" xfId="15" applyNumberFormat="1" applyFill="1" applyBorder="1" applyAlignment="1">
      <alignment horizontal="center" wrapText="1"/>
    </xf>
    <xf numFmtId="1" fontId="37" fillId="15" borderId="34" xfId="15" applyNumberFormat="1" applyFill="1" applyBorder="1" applyAlignment="1">
      <alignment horizontal="center" wrapText="1"/>
    </xf>
    <xf numFmtId="0" fontId="10" fillId="0" borderId="0" xfId="4" applyAlignment="1">
      <alignment wrapText="1"/>
    </xf>
    <xf numFmtId="0" fontId="0" fillId="0" borderId="0" xfId="0" applyAlignment="1">
      <alignment wrapText="1"/>
    </xf>
    <xf numFmtId="0" fontId="37" fillId="0" borderId="0" xfId="15" applyAlignment="1">
      <alignment wrapText="1"/>
    </xf>
    <xf numFmtId="0" fontId="37" fillId="0" borderId="0" xfId="15" applyAlignment="1">
      <alignment horizontal="center" wrapText="1"/>
    </xf>
    <xf numFmtId="164" fontId="37" fillId="0" borderId="33" xfId="15" applyNumberFormat="1" applyBorder="1" applyAlignment="1">
      <alignment horizontal="center"/>
    </xf>
    <xf numFmtId="164" fontId="37" fillId="0" borderId="13" xfId="15" applyNumberFormat="1" applyBorder="1" applyAlignment="1">
      <alignment horizontal="center"/>
    </xf>
    <xf numFmtId="164" fontId="37" fillId="0" borderId="34" xfId="15" applyNumberFormat="1" applyBorder="1" applyAlignment="1">
      <alignment horizontal="center"/>
    </xf>
    <xf numFmtId="0" fontId="37" fillId="0" borderId="33" xfId="15" applyBorder="1" applyAlignment="1"/>
    <xf numFmtId="0" fontId="37" fillId="0" borderId="34" xfId="15" applyBorder="1" applyAlignment="1"/>
    <xf numFmtId="0" fontId="37" fillId="0" borderId="0" xfId="15" applyBorder="1" applyAlignment="1">
      <alignment horizontal="right"/>
    </xf>
    <xf numFmtId="0" fontId="42" fillId="0" borderId="14" xfId="15" applyFont="1" applyBorder="1" applyAlignment="1">
      <alignment wrapText="1"/>
    </xf>
    <xf numFmtId="0" fontId="37" fillId="0" borderId="14" xfId="15" applyBorder="1" applyAlignment="1">
      <alignment wrapText="1"/>
    </xf>
    <xf numFmtId="1" fontId="37" fillId="15" borderId="33" xfId="15" applyNumberFormat="1" applyFill="1" applyBorder="1" applyAlignment="1">
      <alignment horizontal="center"/>
    </xf>
    <xf numFmtId="1" fontId="37" fillId="15" borderId="13" xfId="15" applyNumberFormat="1" applyFill="1" applyBorder="1" applyAlignment="1">
      <alignment horizontal="center"/>
    </xf>
    <xf numFmtId="1" fontId="37" fillId="15" borderId="34" xfId="15" applyNumberFormat="1" applyFill="1" applyBorder="1" applyAlignment="1">
      <alignment horizontal="center"/>
    </xf>
    <xf numFmtId="0" fontId="37" fillId="0" borderId="0" xfId="15" applyBorder="1" applyAlignment="1">
      <alignment horizontal="left"/>
    </xf>
    <xf numFmtId="0" fontId="37" fillId="0" borderId="0" xfId="15" applyAlignment="1">
      <alignment horizontal="left"/>
    </xf>
    <xf numFmtId="0" fontId="37" fillId="0" borderId="13" xfId="15" applyBorder="1" applyAlignment="1"/>
    <xf numFmtId="0" fontId="37" fillId="10" borderId="33" xfId="15" applyFill="1" applyBorder="1" applyAlignment="1"/>
    <xf numFmtId="0" fontId="37" fillId="10" borderId="13" xfId="15" applyFill="1" applyBorder="1" applyAlignment="1"/>
    <xf numFmtId="0" fontId="37" fillId="10" borderId="34" xfId="15" applyFill="1" applyBorder="1" applyAlignment="1"/>
    <xf numFmtId="0" fontId="37" fillId="10" borderId="19" xfId="15" applyFill="1" applyBorder="1" applyAlignment="1">
      <alignment horizontal="center" vertical="center" wrapText="1"/>
    </xf>
    <xf numFmtId="0" fontId="37" fillId="10" borderId="11" xfId="15" applyFill="1" applyBorder="1" applyAlignment="1">
      <alignment horizontal="center" vertical="center" wrapText="1"/>
    </xf>
    <xf numFmtId="0" fontId="37" fillId="15" borderId="33" xfId="15" applyFill="1" applyBorder="1" applyAlignment="1"/>
    <xf numFmtId="0" fontId="37" fillId="15" borderId="13" xfId="15" applyFill="1" applyBorder="1" applyAlignment="1"/>
    <xf numFmtId="0" fontId="37" fillId="15" borderId="34" xfId="15" applyFill="1" applyBorder="1" applyAlignment="1"/>
    <xf numFmtId="0" fontId="37" fillId="10" borderId="33" xfId="15" applyFill="1" applyBorder="1" applyAlignment="1">
      <alignment horizontal="center"/>
    </xf>
    <xf numFmtId="0" fontId="37" fillId="10" borderId="34" xfId="15" applyFill="1" applyBorder="1" applyAlignment="1">
      <alignment horizontal="center"/>
    </xf>
    <xf numFmtId="0" fontId="38" fillId="0" borderId="0" xfId="15" applyFont="1" applyAlignment="1">
      <alignment wrapText="1"/>
    </xf>
    <xf numFmtId="0" fontId="37" fillId="10" borderId="33" xfId="15" applyFill="1" applyBorder="1" applyAlignment="1">
      <alignment wrapText="1"/>
    </xf>
    <xf numFmtId="0" fontId="37" fillId="10" borderId="13" xfId="15" applyFill="1" applyBorder="1" applyAlignment="1">
      <alignment wrapText="1"/>
    </xf>
    <xf numFmtId="0" fontId="37" fillId="10" borderId="34" xfId="15" applyFill="1" applyBorder="1" applyAlignment="1">
      <alignment wrapText="1"/>
    </xf>
    <xf numFmtId="0" fontId="37" fillId="10" borderId="29" xfId="15" applyFill="1" applyBorder="1" applyAlignment="1"/>
    <xf numFmtId="0" fontId="37" fillId="10" borderId="30" xfId="15" applyFill="1" applyBorder="1" applyAlignment="1"/>
    <xf numFmtId="0" fontId="37" fillId="10" borderId="31" xfId="15" applyFill="1" applyBorder="1" applyAlignment="1"/>
    <xf numFmtId="0" fontId="37" fillId="10" borderId="2" xfId="15" applyFill="1" applyBorder="1" applyAlignment="1"/>
    <xf numFmtId="0" fontId="37" fillId="10" borderId="0" xfId="15" applyFill="1" applyBorder="1" applyAlignment="1"/>
    <xf numFmtId="0" fontId="37" fillId="10" borderId="32" xfId="15" applyFill="1" applyBorder="1" applyAlignment="1"/>
    <xf numFmtId="0" fontId="37" fillId="10" borderId="42" xfId="15" applyFill="1" applyBorder="1" applyAlignment="1"/>
    <xf numFmtId="0" fontId="37" fillId="10" borderId="14" xfId="15" applyFill="1" applyBorder="1" applyAlignment="1"/>
    <xf numFmtId="0" fontId="37" fillId="10" borderId="16" xfId="15" applyFill="1" applyBorder="1" applyAlignment="1"/>
    <xf numFmtId="0" fontId="37" fillId="15" borderId="29" xfId="15" applyFill="1" applyBorder="1" applyAlignment="1"/>
    <xf numFmtId="0" fontId="37" fillId="15" borderId="30" xfId="15" applyFill="1" applyBorder="1" applyAlignment="1"/>
    <xf numFmtId="0" fontId="37" fillId="15" borderId="31" xfId="15" applyFill="1" applyBorder="1" applyAlignment="1"/>
    <xf numFmtId="0" fontId="37" fillId="15" borderId="2" xfId="15" applyFill="1" applyBorder="1" applyAlignment="1"/>
    <xf numFmtId="0" fontId="37" fillId="15" borderId="0" xfId="15" applyFill="1" applyBorder="1" applyAlignment="1"/>
    <xf numFmtId="0" fontId="37" fillId="15" borderId="32" xfId="15" applyFill="1" applyBorder="1" applyAlignment="1"/>
    <xf numFmtId="0" fontId="37" fillId="15" borderId="42" xfId="15" applyFill="1" applyBorder="1" applyAlignment="1"/>
    <xf numFmtId="0" fontId="37" fillId="15" borderId="14" xfId="15" applyFill="1" applyBorder="1" applyAlignment="1"/>
    <xf numFmtId="0" fontId="37" fillId="15" borderId="16" xfId="15" applyFill="1" applyBorder="1" applyAlignment="1"/>
    <xf numFmtId="0" fontId="51" fillId="8" borderId="73" xfId="0" applyFont="1" applyFill="1" applyBorder="1" applyAlignment="1">
      <alignment horizontal="left" vertical="top" wrapText="1"/>
    </xf>
    <xf numFmtId="0" fontId="51" fillId="8" borderId="76" xfId="0" applyFont="1" applyFill="1" applyBorder="1" applyAlignment="1">
      <alignment horizontal="left" vertical="top" wrapText="1"/>
    </xf>
    <xf numFmtId="0" fontId="51" fillId="8" borderId="39" xfId="0" applyFont="1" applyFill="1" applyBorder="1" applyAlignment="1">
      <alignment horizontal="center" vertical="center" wrapText="1"/>
    </xf>
    <xf numFmtId="0" fontId="51" fillId="8" borderId="72" xfId="0" applyFont="1" applyFill="1" applyBorder="1" applyAlignment="1">
      <alignment horizontal="center" vertical="center" wrapText="1"/>
    </xf>
    <xf numFmtId="0" fontId="51" fillId="8" borderId="40" xfId="0" applyFont="1" applyFill="1" applyBorder="1" applyAlignment="1">
      <alignment horizontal="center" vertical="center" wrapText="1"/>
    </xf>
    <xf numFmtId="0" fontId="44" fillId="15" borderId="39" xfId="0" applyFont="1" applyFill="1" applyBorder="1" applyAlignment="1">
      <alignment horizontal="center" vertical="center" wrapText="1"/>
    </xf>
    <xf numFmtId="0" fontId="44" fillId="15" borderId="40" xfId="0" applyFont="1" applyFill="1" applyBorder="1" applyAlignment="1">
      <alignment horizontal="center" vertical="center" wrapText="1"/>
    </xf>
    <xf numFmtId="0" fontId="51" fillId="8" borderId="39" xfId="0" applyFont="1" applyFill="1" applyBorder="1" applyAlignment="1">
      <alignment vertical="center" wrapText="1"/>
    </xf>
    <xf numFmtId="0" fontId="51" fillId="8" borderId="40" xfId="0" applyFont="1" applyFill="1" applyBorder="1" applyAlignment="1">
      <alignment vertical="center" wrapText="1"/>
    </xf>
    <xf numFmtId="1" fontId="44" fillId="15" borderId="39" xfId="0" applyNumberFormat="1" applyFont="1" applyFill="1" applyBorder="1" applyAlignment="1">
      <alignment horizontal="center" wrapText="1"/>
    </xf>
    <xf numFmtId="0" fontId="44" fillId="15" borderId="40" xfId="0" applyFont="1" applyFill="1" applyBorder="1" applyAlignment="1">
      <alignment horizontal="center" wrapText="1"/>
    </xf>
    <xf numFmtId="0" fontId="44" fillId="15" borderId="39" xfId="0" applyFont="1" applyFill="1" applyBorder="1" applyAlignment="1">
      <alignment horizontal="center" wrapText="1"/>
    </xf>
    <xf numFmtId="0" fontId="44" fillId="10" borderId="39" xfId="0" applyFont="1" applyFill="1" applyBorder="1" applyAlignment="1" applyProtection="1">
      <alignment horizontal="center" vertical="center" wrapText="1"/>
      <protection locked="0"/>
    </xf>
    <xf numFmtId="0" fontId="44" fillId="10" borderId="72" xfId="0" applyFont="1" applyFill="1" applyBorder="1" applyAlignment="1" applyProtection="1">
      <alignment horizontal="center" vertical="center" wrapText="1"/>
      <protection locked="0"/>
    </xf>
    <xf numFmtId="0" fontId="44" fillId="10" borderId="40" xfId="0" applyFont="1" applyFill="1" applyBorder="1" applyAlignment="1" applyProtection="1">
      <alignment horizontal="center" vertical="center" wrapText="1"/>
      <protection locked="0"/>
    </xf>
    <xf numFmtId="0" fontId="51" fillId="15" borderId="39" xfId="0" applyFont="1" applyFill="1" applyBorder="1" applyAlignment="1">
      <alignment horizontal="center" vertical="center"/>
    </xf>
    <xf numFmtId="0" fontId="51" fillId="15" borderId="40" xfId="0" applyFont="1" applyFill="1" applyBorder="1" applyAlignment="1">
      <alignment horizontal="center" vertical="center"/>
    </xf>
    <xf numFmtId="2" fontId="44" fillId="15" borderId="39" xfId="0" applyNumberFormat="1" applyFont="1" applyFill="1" applyBorder="1" applyAlignment="1">
      <alignment horizontal="center" wrapText="1"/>
    </xf>
    <xf numFmtId="0" fontId="44" fillId="15" borderId="39" xfId="11" applyNumberFormat="1" applyFont="1" applyFill="1" applyBorder="1" applyAlignment="1">
      <alignment horizontal="center" vertical="center" wrapText="1"/>
    </xf>
    <xf numFmtId="0" fontId="44" fillId="15" borderId="72" xfId="11" applyNumberFormat="1" applyFont="1" applyFill="1" applyBorder="1" applyAlignment="1">
      <alignment horizontal="center" vertical="center" wrapText="1"/>
    </xf>
    <xf numFmtId="0" fontId="44" fillId="15" borderId="40" xfId="11" applyNumberFormat="1" applyFont="1" applyFill="1" applyBorder="1" applyAlignment="1">
      <alignment horizontal="center" vertical="center" wrapText="1"/>
    </xf>
  </cellXfs>
  <cellStyles count="23">
    <cellStyle name="40% - Accent2" xfId="18" builtinId="35"/>
    <cellStyle name="60% - Accent2" xfId="3" builtinId="36"/>
    <cellStyle name="60% - Accent3" xfId="14" builtinId="40"/>
    <cellStyle name="Accent1" xfId="1" builtinId="29"/>
    <cellStyle name="Accent2" xfId="2" builtinId="33"/>
    <cellStyle name="Bad" xfId="17" builtinId="27"/>
    <cellStyle name="Comma [0]" xfId="19" builtinId="6"/>
    <cellStyle name="Comma 2" xfId="16"/>
    <cellStyle name="Currency" xfId="13" builtinId="4"/>
    <cellStyle name="Currency 2" xfId="8"/>
    <cellStyle name="Currency 3" xfId="20"/>
    <cellStyle name="Hyperlink" xfId="12" builtinId="8"/>
    <cellStyle name="Neutral" xfId="6" builtinId="28"/>
    <cellStyle name="Normal" xfId="0" builtinId="0"/>
    <cellStyle name="Normal 2" xfId="4"/>
    <cellStyle name="Normal 3" xfId="9"/>
    <cellStyle name="Normal 4" xfId="15"/>
    <cellStyle name="Normal_hendra regs calculator.xls" xfId="7"/>
    <cellStyle name="Percent" xfId="11" builtinId="5"/>
    <cellStyle name="Percent 2" xfId="5"/>
    <cellStyle name="Percent 2 2" xfId="22"/>
    <cellStyle name="Percent 3" xfId="10"/>
    <cellStyle name="Percent 4" xfId="21"/>
  </cellStyles>
  <dxfs count="2">
    <dxf>
      <font>
        <b/>
        <i val="0"/>
        <condense val="0"/>
        <extend val="0"/>
      </font>
    </dxf>
    <dxf>
      <font>
        <b/>
        <i val="0"/>
        <condense val="0"/>
        <extend val="0"/>
        <color indexed="10"/>
      </font>
    </dxf>
  </dxfs>
  <tableStyles count="0" defaultTableStyle="TableStyleMedium2" defaultPivotStyle="PivotStyleLight16"/>
  <colors>
    <mruColors>
      <color rgb="FF94BBDE"/>
      <color rgb="FFFF3300"/>
      <color rgb="FF99D1D9"/>
      <color rgb="FFEFF7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lang val="en-GB"/>
  <c:chart>
    <c:title>
      <c:tx>
        <c:rich>
          <a:bodyPr/>
          <a:lstStyle/>
          <a:p>
            <a:pPr>
              <a:defRPr/>
            </a:pPr>
            <a:r>
              <a:rPr lang="en-US"/>
              <a:t>Heat Load required v.s selected unit output </a:t>
            </a:r>
            <a:r>
              <a:rPr lang="en-US">
                <a:solidFill>
                  <a:srgbClr val="FF0000"/>
                </a:solidFill>
              </a:rPr>
              <a:t>Including defrost  </a:t>
            </a:r>
            <a:r>
              <a:rPr lang="en-US"/>
              <a:t>at selected flow temperature </a:t>
            </a:r>
          </a:p>
        </c:rich>
      </c:tx>
      <c:layout>
        <c:manualLayout>
          <c:xMode val="edge"/>
          <c:yMode val="edge"/>
          <c:x val="0.15090417412051407"/>
          <c:y val="2.151853047098071E-2"/>
        </c:manualLayout>
      </c:layout>
    </c:title>
    <c:plotArea>
      <c:layout>
        <c:manualLayout>
          <c:layoutTarget val="inner"/>
          <c:xMode val="edge"/>
          <c:yMode val="edge"/>
          <c:x val="6.2614239734846922E-2"/>
          <c:y val="0.10108722896124504"/>
          <c:w val="0.69172527681760132"/>
          <c:h val="0.78778558085644668"/>
        </c:manualLayout>
      </c:layout>
      <c:scatterChart>
        <c:scatterStyle val="smoothMarker"/>
        <c:ser>
          <c:idx val="1"/>
          <c:order val="0"/>
          <c:tx>
            <c:v>House heat load</c:v>
          </c:tx>
          <c:spPr>
            <a:ln>
              <a:solidFill>
                <a:schemeClr val="tx1"/>
              </a:solidFill>
              <a:prstDash val="dash"/>
            </a:ln>
          </c:spPr>
          <c:marker>
            <c:symbol val="none"/>
          </c:marker>
          <c:xVal>
            <c:numRef>
              <c:f>equipment!$A$139:$A$140</c:f>
              <c:numCache>
                <c:formatCode>General</c:formatCode>
                <c:ptCount val="2"/>
                <c:pt idx="0">
                  <c:v>15</c:v>
                </c:pt>
                <c:pt idx="1">
                  <c:v>-4</c:v>
                </c:pt>
              </c:numCache>
            </c:numRef>
          </c:xVal>
          <c:yVal>
            <c:numRef>
              <c:f>equipment!$B$139:$B$140</c:f>
              <c:numCache>
                <c:formatCode>General</c:formatCode>
                <c:ptCount val="2"/>
                <c:pt idx="0">
                  <c:v>0</c:v>
                </c:pt>
                <c:pt idx="1">
                  <c:v>6.4629997995215307</c:v>
                </c:pt>
              </c:numCache>
            </c:numRef>
          </c:yVal>
          <c:smooth val="1"/>
          <c:extLst xmlns:c16r2="http://schemas.microsoft.com/office/drawing/2015/06/chart">
            <c:ext xmlns:c16="http://schemas.microsoft.com/office/drawing/2014/chart" uri="{C3380CC4-5D6E-409C-BE32-E72D297353CC}">
              <c16:uniqueId val="{00000006-802F-4FCB-8AB4-AF38420474A1}"/>
            </c:ext>
          </c:extLst>
        </c:ser>
        <c:ser>
          <c:idx val="0"/>
          <c:order val="1"/>
          <c:tx>
            <c:v>Output of selected unit</c:v>
          </c:tx>
          <c:marker>
            <c:symbol val="none"/>
          </c:marker>
          <c:xVal>
            <c:numRef>
              <c:f>equipment!$A$205:$A$211</c:f>
              <c:numCache>
                <c:formatCode>General</c:formatCode>
                <c:ptCount val="7"/>
                <c:pt idx="0">
                  <c:v>-10</c:v>
                </c:pt>
                <c:pt idx="1">
                  <c:v>-7</c:v>
                </c:pt>
                <c:pt idx="2">
                  <c:v>-2</c:v>
                </c:pt>
                <c:pt idx="3">
                  <c:v>0</c:v>
                </c:pt>
                <c:pt idx="4">
                  <c:v>2</c:v>
                </c:pt>
                <c:pt idx="5">
                  <c:v>7</c:v>
                </c:pt>
                <c:pt idx="6">
                  <c:v>15</c:v>
                </c:pt>
              </c:numCache>
            </c:numRef>
          </c:xVal>
          <c:yVal>
            <c:numRef>
              <c:f>equipment!$B$205:$B$211</c:f>
              <c:numCache>
                <c:formatCode>General</c:formatCode>
                <c:ptCount val="7"/>
                <c:pt idx="0">
                  <c:v>6.38</c:v>
                </c:pt>
                <c:pt idx="1">
                  <c:v>6.53</c:v>
                </c:pt>
                <c:pt idx="2">
                  <c:v>6.48</c:v>
                </c:pt>
                <c:pt idx="3">
                  <c:v>6.2549999999999999</c:v>
                </c:pt>
                <c:pt idx="4">
                  <c:v>6.18</c:v>
                </c:pt>
                <c:pt idx="5">
                  <c:v>8.0500000000000007</c:v>
                </c:pt>
                <c:pt idx="6">
                  <c:v>10.130000000000001</c:v>
                </c:pt>
              </c:numCache>
            </c:numRef>
          </c:yVal>
          <c:smooth val="1"/>
          <c:extLst xmlns:c16r2="http://schemas.microsoft.com/office/drawing/2015/06/chart">
            <c:ext xmlns:c16="http://schemas.microsoft.com/office/drawing/2014/chart" uri="{C3380CC4-5D6E-409C-BE32-E72D297353CC}">
              <c16:uniqueId val="{00000001-C20C-4F06-9DF4-871F46A004B2}"/>
            </c:ext>
          </c:extLst>
        </c:ser>
        <c:axId val="172573440"/>
        <c:axId val="172575744"/>
      </c:scatterChart>
      <c:valAx>
        <c:axId val="172573440"/>
        <c:scaling>
          <c:orientation val="minMax"/>
          <c:max val="15"/>
          <c:min val="-10"/>
        </c:scaling>
        <c:axPos val="b"/>
        <c:majorGridlines/>
        <c:minorGridlines/>
        <c:title>
          <c:tx>
            <c:rich>
              <a:bodyPr/>
              <a:lstStyle/>
              <a:p>
                <a:pPr>
                  <a:defRPr/>
                </a:pPr>
                <a:r>
                  <a:rPr lang="en-GB"/>
                  <a:t>Outdoor Ambient Temperature C</a:t>
                </a:r>
              </a:p>
            </c:rich>
          </c:tx>
        </c:title>
        <c:numFmt formatCode="General" sourceLinked="1"/>
        <c:majorTickMark val="none"/>
        <c:tickLblPos val="nextTo"/>
        <c:crossAx val="172575744"/>
        <c:crosses val="autoZero"/>
        <c:crossBetween val="midCat"/>
      </c:valAx>
      <c:valAx>
        <c:axId val="172575744"/>
        <c:scaling>
          <c:orientation val="minMax"/>
        </c:scaling>
        <c:axPos val="l"/>
        <c:majorGridlines/>
        <c:minorGridlines/>
        <c:title>
          <c:tx>
            <c:rich>
              <a:bodyPr/>
              <a:lstStyle/>
              <a:p>
                <a:pPr>
                  <a:defRPr/>
                </a:pPr>
                <a:r>
                  <a:rPr lang="en-US"/>
                  <a:t>Heat output kW inc defrost</a:t>
                </a:r>
              </a:p>
            </c:rich>
          </c:tx>
        </c:title>
        <c:numFmt formatCode="General" sourceLinked="1"/>
        <c:majorTickMark val="none"/>
        <c:tickLblPos val="nextTo"/>
        <c:crossAx val="172573440"/>
        <c:crossesAt val="-10"/>
        <c:crossBetween val="midCat"/>
      </c:valAx>
      <c:spPr>
        <a:noFill/>
      </c:spPr>
    </c:plotArea>
    <c:legend>
      <c:legendPos val="r"/>
      <c:legendEntry>
        <c:idx val="1"/>
        <c:txPr>
          <a:bodyPr/>
          <a:lstStyle/>
          <a:p>
            <a:pPr>
              <a:defRPr>
                <a:solidFill>
                  <a:schemeClr val="tx1"/>
                </a:solidFill>
                <a:effectLst>
                  <a:outerShdw blurRad="50800" dist="50800" dir="5400000" sx="3000" sy="3000" algn="ctr" rotWithShape="0">
                    <a:srgbClr val="000000">
                      <a:alpha val="43137"/>
                    </a:srgbClr>
                  </a:outerShdw>
                </a:effectLst>
              </a:defRPr>
            </a:pPr>
            <a:endParaRPr lang="en-US"/>
          </a:p>
        </c:txPr>
      </c:legendEntry>
      <c:layout>
        <c:manualLayout>
          <c:xMode val="edge"/>
          <c:yMode val="edge"/>
          <c:x val="0.78921257628552299"/>
          <c:y val="0.33901937639231933"/>
          <c:w val="0.17258938427615608"/>
          <c:h val="0.252490105366317"/>
        </c:manualLayout>
      </c:layout>
    </c:legend>
    <c:plotVisOnly val="1"/>
    <c:dispBlanksAs val="gap"/>
  </c:chart>
  <c:printSettings>
    <c:headerFooter/>
    <c:pageMargins b="0.75000000000000033" l="0.70000000000000029" r="0.70000000000000029" t="0.75000000000000033" header="0.30000000000000016" footer="0.30000000000000016"/>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07/relationships/hdphoto" Target="../media/hdphoto1.wdp"/><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104775</xdr:rowOff>
    </xdr:from>
    <xdr:to>
      <xdr:col>3</xdr:col>
      <xdr:colOff>514351</xdr:colOff>
      <xdr:row>4</xdr:row>
      <xdr:rowOff>135459</xdr:rowOff>
    </xdr:to>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1"/>
        <a:stretch>
          <a:fillRect/>
        </a:stretch>
      </xdr:blipFill>
      <xdr:spPr>
        <a:xfrm>
          <a:off x="800100" y="104775"/>
          <a:ext cx="1647826" cy="735534"/>
        </a:xfrm>
        <a:prstGeom prst="rect">
          <a:avLst/>
        </a:prstGeom>
      </xdr:spPr>
    </xdr:pic>
    <xdr:clientData/>
  </xdr:twoCellAnchor>
  <xdr:twoCellAnchor editAs="oneCell">
    <xdr:from>
      <xdr:col>1</xdr:col>
      <xdr:colOff>200025</xdr:colOff>
      <xdr:row>31</xdr:row>
      <xdr:rowOff>52254</xdr:rowOff>
    </xdr:from>
    <xdr:to>
      <xdr:col>16</xdr:col>
      <xdr:colOff>314325</xdr:colOff>
      <xdr:row>41</xdr:row>
      <xdr:rowOff>85356</xdr:rowOff>
    </xdr:to>
    <xdr:pic>
      <xdr:nvPicPr>
        <xdr:cNvPr id="3" name="Picture 2">
          <a:extLst>
            <a:ext uri="{FF2B5EF4-FFF2-40B4-BE49-F238E27FC236}">
              <a16:creationId xmlns:a16="http://schemas.microsoft.com/office/drawing/2014/main" xmlns="" id="{2C619590-FBDF-439E-9F0B-DB43613C972A}"/>
            </a:ext>
          </a:extLst>
        </xdr:cNvPr>
        <xdr:cNvPicPr>
          <a:picLocks noChangeAspect="1"/>
        </xdr:cNvPicPr>
      </xdr:nvPicPr>
      <xdr:blipFill rotWithShape="1">
        <a:blip xmlns:r="http://schemas.openxmlformats.org/officeDocument/2006/relationships" r:embed="rId2"/>
        <a:srcRect t="29981"/>
        <a:stretch/>
      </xdr:blipFill>
      <xdr:spPr>
        <a:xfrm>
          <a:off x="914400" y="5262429"/>
          <a:ext cx="9629775" cy="165235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57150</xdr:rowOff>
    </xdr:from>
    <xdr:to>
      <xdr:col>0</xdr:col>
      <xdr:colOff>2091589</xdr:colOff>
      <xdr:row>5</xdr:row>
      <xdr:rowOff>19050</xdr:rowOff>
    </xdr:to>
    <xdr:pic>
      <xdr:nvPicPr>
        <xdr:cNvPr id="7" name="Picture 6">
          <a:extLst>
            <a:ext uri="{FF2B5EF4-FFF2-40B4-BE49-F238E27FC236}">
              <a16:creationId xmlns:a16="http://schemas.microsoft.com/office/drawing/2014/main" xmlns="" id="{00000000-0008-0000-0A00-000007000000}"/>
            </a:ext>
          </a:extLst>
        </xdr:cNvPr>
        <xdr:cNvPicPr>
          <a:picLocks noChangeAspect="1"/>
        </xdr:cNvPicPr>
      </xdr:nvPicPr>
      <xdr:blipFill>
        <a:blip xmlns:r="http://schemas.openxmlformats.org/officeDocument/2006/relationships" r:embed="rId1"/>
        <a:stretch>
          <a:fillRect/>
        </a:stretch>
      </xdr:blipFill>
      <xdr:spPr>
        <a:xfrm>
          <a:off x="85725" y="57150"/>
          <a:ext cx="2005864" cy="8953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15</xdr:col>
      <xdr:colOff>590550</xdr:colOff>
      <xdr:row>48</xdr:row>
      <xdr:rowOff>95250</xdr:rowOff>
    </xdr:from>
    <xdr:ext cx="6305550" cy="2162175"/>
    <xdr:pic>
      <xdr:nvPicPr>
        <xdr:cNvPr id="2" name="Picture 1">
          <a:extLst>
            <a:ext uri="{FF2B5EF4-FFF2-40B4-BE49-F238E27FC236}">
              <a16:creationId xmlns:a16="http://schemas.microsoft.com/office/drawing/2014/main" xmlns=""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9734550" y="9239250"/>
          <a:ext cx="6305550" cy="2162175"/>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20</xdr:col>
      <xdr:colOff>314325</xdr:colOff>
      <xdr:row>0</xdr:row>
      <xdr:rowOff>161925</xdr:rowOff>
    </xdr:from>
    <xdr:ext cx="14933333" cy="8323809"/>
    <xdr:pic>
      <xdr:nvPicPr>
        <xdr:cNvPr id="3" name="Picture 2">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a:stretch>
          <a:fillRect/>
        </a:stretch>
      </xdr:blipFill>
      <xdr:spPr>
        <a:xfrm>
          <a:off x="12506325" y="161925"/>
          <a:ext cx="14933333" cy="832380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323850</xdr:colOff>
      <xdr:row>0</xdr:row>
      <xdr:rowOff>1</xdr:rowOff>
    </xdr:from>
    <xdr:to>
      <xdr:col>11</xdr:col>
      <xdr:colOff>104775</xdr:colOff>
      <xdr:row>2</xdr:row>
      <xdr:rowOff>113335</xdr:rowOff>
    </xdr:to>
    <xdr:pic>
      <xdr:nvPicPr>
        <xdr:cNvPr id="3" name="Picture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a:stretch>
          <a:fillRect/>
        </a:stretch>
      </xdr:blipFill>
      <xdr:spPr>
        <a:xfrm>
          <a:off x="8715375" y="1"/>
          <a:ext cx="1466850" cy="593048"/>
        </a:xfrm>
        <a:prstGeom prst="rect">
          <a:avLst/>
        </a:prstGeom>
      </xdr:spPr>
    </xdr:pic>
    <xdr:clientData/>
  </xdr:twoCellAnchor>
  <xdr:oneCellAnchor>
    <xdr:from>
      <xdr:col>16</xdr:col>
      <xdr:colOff>381000</xdr:colOff>
      <xdr:row>24</xdr:row>
      <xdr:rowOff>152400</xdr:rowOff>
    </xdr:from>
    <xdr:ext cx="2280402" cy="2066613"/>
    <xdr:pic>
      <xdr:nvPicPr>
        <xdr:cNvPr id="4" name="Picture 3">
          <a:extLst>
            <a:ext uri="{FF2B5EF4-FFF2-40B4-BE49-F238E27FC236}">
              <a16:creationId xmlns:a16="http://schemas.microsoft.com/office/drawing/2014/main" xmlns="" id="{DE7AC54B-A2F7-49B8-86EB-9A0374D745E5}"/>
            </a:ext>
          </a:extLst>
        </xdr:cNvPr>
        <xdr:cNvPicPr>
          <a:picLocks noChangeAspect="1"/>
        </xdr:cNvPicPr>
      </xdr:nvPicPr>
      <xdr:blipFill>
        <a:blip xmlns:r="http://schemas.openxmlformats.org/officeDocument/2006/relationships" r:embed="rId2"/>
        <a:stretch>
          <a:fillRect/>
        </a:stretch>
      </xdr:blipFill>
      <xdr:spPr>
        <a:xfrm>
          <a:off x="10801350" y="5562600"/>
          <a:ext cx="2280402" cy="2066613"/>
        </a:xfrm>
        <a:prstGeom prst="rect">
          <a:avLst/>
        </a:prstGeom>
        <a:ln>
          <a:solidFill>
            <a:sysClr val="windowText" lastClr="000000"/>
          </a:solid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12</xdr:col>
      <xdr:colOff>38100</xdr:colOff>
      <xdr:row>5</xdr:row>
      <xdr:rowOff>13606</xdr:rowOff>
    </xdr:from>
    <xdr:ext cx="2176929" cy="2466975"/>
    <xdr:pic>
      <xdr:nvPicPr>
        <xdr:cNvPr id="7" name="Picture 6">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xmlns="">
                <a14:imgLayer r:embed="rId2">
                  <a14:imgEffect>
                    <a14:brightnessContrast contrast="-40000"/>
                  </a14:imgEffect>
                </a14:imgLayer>
              </a14:imgProps>
            </a:ext>
          </a:extLst>
        </a:blip>
        <a:stretch>
          <a:fillRect/>
        </a:stretch>
      </xdr:blipFill>
      <xdr:spPr>
        <a:xfrm>
          <a:off x="10410825" y="1175656"/>
          <a:ext cx="2176929" cy="2466975"/>
        </a:xfrm>
        <a:prstGeom prst="rect">
          <a:avLst/>
        </a:prstGeom>
        <a:ln>
          <a:solidFill>
            <a:sysClr val="windowText" lastClr="000000"/>
          </a:solidFill>
        </a:ln>
      </xdr:spPr>
    </xdr:pic>
    <xdr:clientData/>
  </xdr:oneCellAnchor>
  <xdr:twoCellAnchor editAs="oneCell">
    <xdr:from>
      <xdr:col>1</xdr:col>
      <xdr:colOff>2000250</xdr:colOff>
      <xdr:row>0</xdr:row>
      <xdr:rowOff>209550</xdr:rowOff>
    </xdr:from>
    <xdr:to>
      <xdr:col>3</xdr:col>
      <xdr:colOff>942975</xdr:colOff>
      <xdr:row>3</xdr:row>
      <xdr:rowOff>164034</xdr:rowOff>
    </xdr:to>
    <xdr:pic>
      <xdr:nvPicPr>
        <xdr:cNvPr id="6" name="Picture 5">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3"/>
        <a:stretch>
          <a:fillRect/>
        </a:stretch>
      </xdr:blipFill>
      <xdr:spPr>
        <a:xfrm>
          <a:off x="4152900" y="209550"/>
          <a:ext cx="1619250" cy="7355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171450</xdr:colOff>
      <xdr:row>17</xdr:row>
      <xdr:rowOff>0</xdr:rowOff>
    </xdr:from>
    <xdr:to>
      <xdr:col>8</xdr:col>
      <xdr:colOff>762000</xdr:colOff>
      <xdr:row>44</xdr:row>
      <xdr:rowOff>123824</xdr:rowOff>
    </xdr:to>
    <xdr:graphicFrame macro="">
      <xdr:nvGraphicFramePr>
        <xdr:cNvPr id="3" name="Chart 2">
          <a:extLst>
            <a:ext uri="{FF2B5EF4-FFF2-40B4-BE49-F238E27FC236}">
              <a16:creationId xmlns:a16="http://schemas.microsoft.com/office/drawing/2014/main" xmlns=""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0.80816</cdr:x>
      <cdr:y>0.0117</cdr:y>
    </cdr:from>
    <cdr:to>
      <cdr:x>0.95238</cdr:x>
      <cdr:y>0.12455</cdr:y>
    </cdr:to>
    <cdr:pic>
      <cdr:nvPicPr>
        <cdr:cNvPr id="3" name="Picture 2">
          <a:extLst xmlns:a="http://schemas.openxmlformats.org/drawingml/2006/main">
            <a:ext uri="{FF2B5EF4-FFF2-40B4-BE49-F238E27FC236}">
              <a16:creationId xmlns:a16="http://schemas.microsoft.com/office/drawing/2014/main" xmlns="" id="{F2EA226D-F27F-4BF4-BACA-C0CB865D23E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1184793" y="61851"/>
          <a:ext cx="1995980" cy="596567"/>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7</xdr:col>
      <xdr:colOff>923925</xdr:colOff>
      <xdr:row>0</xdr:row>
      <xdr:rowOff>0</xdr:rowOff>
    </xdr:from>
    <xdr:to>
      <xdr:col>8</xdr:col>
      <xdr:colOff>986790</xdr:colOff>
      <xdr:row>7</xdr:row>
      <xdr:rowOff>143632</xdr:rowOff>
    </xdr:to>
    <xdr:pic>
      <xdr:nvPicPr>
        <xdr:cNvPr id="4" name="Picture 3">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1"/>
        <a:stretch>
          <a:fillRect/>
        </a:stretch>
      </xdr:blipFill>
      <xdr:spPr>
        <a:xfrm>
          <a:off x="10267950" y="0"/>
          <a:ext cx="1495425" cy="6675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133350</xdr:colOff>
      <xdr:row>0</xdr:row>
      <xdr:rowOff>47625</xdr:rowOff>
    </xdr:from>
    <xdr:to>
      <xdr:col>11</xdr:col>
      <xdr:colOff>342901</xdr:colOff>
      <xdr:row>3</xdr:row>
      <xdr:rowOff>11634</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stretch>
          <a:fillRect/>
        </a:stretch>
      </xdr:blipFill>
      <xdr:spPr>
        <a:xfrm>
          <a:off x="8763000" y="47625"/>
          <a:ext cx="1647826" cy="73553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19050</xdr:colOff>
      <xdr:row>0</xdr:row>
      <xdr:rowOff>66674</xdr:rowOff>
    </xdr:from>
    <xdr:to>
      <xdr:col>2</xdr:col>
      <xdr:colOff>647700</xdr:colOff>
      <xdr:row>3</xdr:row>
      <xdr:rowOff>237035</xdr:rowOff>
    </xdr:to>
    <xdr:pic>
      <xdr:nvPicPr>
        <xdr:cNvPr id="2" name="Picture 1">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704850" y="66674"/>
          <a:ext cx="1085850" cy="951411"/>
        </a:xfrm>
        <a:prstGeom prst="rect">
          <a:avLst/>
        </a:prstGeom>
        <a:noFill/>
        <a:ln>
          <a:noFill/>
        </a:ln>
        <a:effectLst/>
        <a:extLst>
          <a:ext uri="{909E8E84-426E-40dd-AFC4-6F175D3DCCD1}">
            <a14:hiddenFill xmlns:a14="http://schemas.microsoft.com/office/drawing/2010/main" xmlns="">
              <a:blipFill dpi="0" rotWithShape="0">
                <a:blip xmlns:r="http://schemas.openxmlformats.org/officeDocument/2006/relationships"/>
                <a:srcRect/>
                <a:stretch>
                  <a:fillRect/>
                </a:stretch>
              </a:blipFill>
            </a14:hiddenFill>
          </a:ext>
          <a:ext uri="{91240B29-F687-4f45-9708-019B960494DF}">
            <a14:hiddenLine xmlns:a14="http://schemas.microsoft.com/office/drawing/2010/main" xmlns="" w="9525">
              <a:solidFill>
                <a:srgbClr val="000000"/>
              </a:solidFill>
              <a:round/>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clientData/>
  </xdr:twoCellAnchor>
  <xdr:twoCellAnchor editAs="oneCell">
    <xdr:from>
      <xdr:col>7</xdr:col>
      <xdr:colOff>66675</xdr:colOff>
      <xdr:row>110</xdr:row>
      <xdr:rowOff>158750</xdr:rowOff>
    </xdr:from>
    <xdr:to>
      <xdr:col>26</xdr:col>
      <xdr:colOff>398790</xdr:colOff>
      <xdr:row>129</xdr:row>
      <xdr:rowOff>46869</xdr:rowOff>
    </xdr:to>
    <xdr:pic>
      <xdr:nvPicPr>
        <xdr:cNvPr id="4" name="Picture 3">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2"/>
        <a:stretch>
          <a:fillRect/>
        </a:stretch>
      </xdr:blipFill>
      <xdr:spPr>
        <a:xfrm>
          <a:off x="13030200" y="29524325"/>
          <a:ext cx="11304915" cy="6041269"/>
        </a:xfrm>
        <a:prstGeom prst="rect">
          <a:avLst/>
        </a:prstGeom>
        <a:ln>
          <a:solidFill>
            <a:schemeClr val="tx1"/>
          </a:solidFill>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6</xdr:col>
      <xdr:colOff>454025</xdr:colOff>
      <xdr:row>1</xdr:row>
      <xdr:rowOff>292100</xdr:rowOff>
    </xdr:from>
    <xdr:ext cx="6238875" cy="8186985"/>
    <xdr:sp macro="" textlink="">
      <xdr:nvSpPr>
        <xdr:cNvPr id="2" name="TextBox 1">
          <a:extLst>
            <a:ext uri="{FF2B5EF4-FFF2-40B4-BE49-F238E27FC236}">
              <a16:creationId xmlns:a16="http://schemas.microsoft.com/office/drawing/2014/main" xmlns="" id="{00000000-0008-0000-0900-000002000000}"/>
            </a:ext>
          </a:extLst>
        </xdr:cNvPr>
        <xdr:cNvSpPr txBox="1"/>
      </xdr:nvSpPr>
      <xdr:spPr>
        <a:xfrm>
          <a:off x="10807700" y="596900"/>
          <a:ext cx="6238875" cy="81869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 Microgeneration Certification Scheme (MCS) requires us to provide to the customer a performance estimate based on the standard procedure set out in the Microgeneration Installer Standard for Heat Pumps – MIS 3005.</a:t>
          </a:r>
        </a:p>
        <a:p>
          <a:r>
            <a:rPr lang="en-GB" sz="1100"/>
            <a:t>The estimate is based upon the best available information but is given as guidance only and should not be considered as a guarantee.'</a:t>
          </a:r>
        </a:p>
        <a:p>
          <a:r>
            <a:rPr lang="en-GB" sz="1100" b="1"/>
            <a:t>Your energy needs:</a:t>
          </a:r>
        </a:p>
        <a:p>
          <a:r>
            <a:rPr lang="en-GB" sz="1100"/>
            <a:t>Based on the detailed technical survey attached, we have estimated the energy required to heat your property to a comfortable level and provide you with sufficient hot water. The EPC on which your Renewable Heat Incentive payments will be based differs from that used to size the system and is likely to produce a different result.</a:t>
          </a:r>
        </a:p>
        <a:p>
          <a:r>
            <a:rPr lang="en-GB" sz="1100" b="1"/>
            <a:t>Installation design</a:t>
          </a:r>
        </a:p>
        <a:p>
          <a:r>
            <a:rPr lang="en-GB" sz="1100"/>
            <a:t>Your heat pump is designed to provide 100% of your space heating needs for 99% of the </a:t>
          </a:r>
          <a:r>
            <a:rPr lang="en-GB" sz="1100" baseline="0"/>
            <a:t> year</a:t>
          </a:r>
          <a:r>
            <a:rPr lang="en-GB" sz="1100"/>
            <a:t>. It is possible you may need supplementary space heating for the coldest 1% of the hours. You may also need supplementary heating if: the building is being heated from a cold state</a:t>
          </a:r>
          <a:r>
            <a:rPr lang="en-GB" sz="1100" baseline="0"/>
            <a:t> or </a:t>
          </a:r>
          <a:r>
            <a:rPr lang="en-GB" sz="1100"/>
            <a:t>you frequently use large amounts of hot water during cold weather.</a:t>
          </a:r>
        </a:p>
        <a:p>
          <a:r>
            <a:rPr lang="en-GB" sz="1100"/>
            <a:t>Your calculation (attached) works out how much energy is needed to heat each room in your property where the heat pump will be installed. This is known as a heat loss calculation. Once complete we will discuss with you the star rating</a:t>
          </a:r>
          <a:r>
            <a:rPr lang="en-GB" sz="1100" baseline="0"/>
            <a:t> </a:t>
          </a:r>
          <a:r>
            <a:rPr lang="en-GB" sz="1100"/>
            <a:t>and the best method to heat each room (radiators or underfloor heating for example).</a:t>
          </a:r>
          <a:r>
            <a:rPr lang="en-GB" sz="1100" baseline="0"/>
            <a:t> and the benefits of increaseing the insulation.</a:t>
          </a:r>
          <a:r>
            <a:rPr lang="en-GB" sz="1100"/>
            <a:t> The heat loss calculation was carried out using a method that complies with British Standard BS EN 12831 as specified by the Microgeneration MCS Scheme.</a:t>
          </a:r>
        </a:p>
        <a:p>
          <a:endParaRPr lang="en-GB" sz="1100" b="1"/>
        </a:p>
        <a:p>
          <a:r>
            <a:rPr lang="en-GB" sz="1100" b="1"/>
            <a:t>The Renewable Heat Incentive</a:t>
          </a:r>
        </a:p>
        <a:p>
          <a:r>
            <a:rPr lang="en-GB" sz="1100"/>
            <a:t>Under the Renewable Heat Incentive (RHI), you will receive regular payments for seven years as an incentive to use renewable heat technology. The amount of money that is paid to you will depend on the amount of heat your property requires. You will receive a quarterly payment based on the amount of heat your property needs and the efficiency of your system. The rates will change annually in line with the Retail Price Index (RPI).</a:t>
          </a:r>
        </a:p>
        <a:p>
          <a:r>
            <a:rPr lang="en-GB" sz="1100"/>
            <a:t>The RHI will be paid on each kilowatt hour (kWh) of renewable heat the installation generates, not the total heat.</a:t>
          </a:r>
          <a:r>
            <a:rPr lang="en-GB" sz="1100" baseline="0"/>
            <a:t> </a:t>
          </a:r>
        </a:p>
        <a:p>
          <a:endParaRPr lang="en-GB" sz="1100"/>
        </a:p>
        <a:p>
          <a:r>
            <a:rPr lang="en-GB" sz="1100"/>
            <a:t>The system's efficiency, known as the Seasonal Performance Factor (SPF),</a:t>
          </a:r>
          <a:r>
            <a:rPr lang="en-GB" sz="1100" baseline="0"/>
            <a:t> it is the average efficency across the whole year.</a:t>
          </a:r>
          <a:r>
            <a:rPr lang="en-GB" sz="1100"/>
            <a:t>  A heat pump with an SPF of 2.7 generates 2.7 kWh of heat for every one kWh of electricity it uses. This means that  nearly two thirds of the heat from that heat pump will be eligible for RHI payments.</a:t>
          </a:r>
        </a:p>
        <a:p>
          <a:endParaRPr lang="en-GB" sz="1100" b="1"/>
        </a:p>
        <a:p>
          <a:r>
            <a:rPr lang="en-GB" sz="1100" b="1"/>
            <a:t>Estimating your RHI payments</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tx1"/>
              </a:solidFill>
              <a:effectLst/>
              <a:latin typeface="+mn-lt"/>
              <a:ea typeface="+mn-ea"/>
              <a:cs typeface="+mn-cs"/>
            </a:rPr>
            <a:t>Your RHI payments will be based on the Energy Performance Certificate (EPC) produced following the Green Deal assessment. </a:t>
          </a:r>
          <a:endParaRPr lang="en-GB">
            <a:effectLst/>
          </a:endParaRPr>
        </a:p>
        <a:p>
          <a:r>
            <a:rPr lang="en-GB" sz="1100" b="0"/>
            <a:t>We cannot accuratley</a:t>
          </a:r>
          <a:r>
            <a:rPr lang="en-GB" sz="1100" b="0" baseline="0"/>
            <a:t> calculate </a:t>
          </a:r>
          <a:r>
            <a:rPr lang="en-GB" sz="1100" b="0"/>
            <a:t>your RHI income using the heat loss calulator. It is important to note that the annual heat use provided by this method is just an estimate and will not replace the information provided by an EPC, which is produced by a qualified assessor during a Green Deal Assessment of your property.</a:t>
          </a:r>
        </a:p>
        <a:p>
          <a:endParaRPr lang="en-GB" sz="1100" b="0"/>
        </a:p>
        <a:p>
          <a:r>
            <a:rPr lang="en-GB" sz="1100" b="1"/>
            <a:t>Estimating your RHI from the MCS heat loss calculation:</a:t>
          </a:r>
        </a:p>
        <a:p>
          <a:r>
            <a:rPr lang="en-GB" sz="1100" b="0"/>
            <a:t>we have estimated</a:t>
          </a:r>
          <a:r>
            <a:rPr lang="en-GB" sz="1100" b="0" baseline="0"/>
            <a:t>  the </a:t>
          </a:r>
          <a:r>
            <a:rPr lang="en-GB" sz="1100" b="0"/>
            <a:t>savings compared to the costs of your present system. The proposed heat pump will run on electricity, and is able to supply the same heat demand whilst consuming less energy. </a:t>
          </a:r>
        </a:p>
      </xdr:txBody>
    </xdr:sp>
    <xdr:clientData/>
  </xdr:oneCellAnchor>
  <xdr:twoCellAnchor>
    <xdr:from>
      <xdr:col>5</xdr:col>
      <xdr:colOff>69849</xdr:colOff>
      <xdr:row>69</xdr:row>
      <xdr:rowOff>9525</xdr:rowOff>
    </xdr:from>
    <xdr:to>
      <xdr:col>15</xdr:col>
      <xdr:colOff>419100</xdr:colOff>
      <xdr:row>77</xdr:row>
      <xdr:rowOff>95250</xdr:rowOff>
    </xdr:to>
    <xdr:sp macro="" textlink="">
      <xdr:nvSpPr>
        <xdr:cNvPr id="3" name="TextBox 2">
          <a:extLst>
            <a:ext uri="{FF2B5EF4-FFF2-40B4-BE49-F238E27FC236}">
              <a16:creationId xmlns:a16="http://schemas.microsoft.com/office/drawing/2014/main" xmlns="" id="{00000000-0008-0000-0900-000003000000}"/>
            </a:ext>
          </a:extLst>
        </xdr:cNvPr>
        <xdr:cNvSpPr txBox="1"/>
      </xdr:nvSpPr>
      <xdr:spPr>
        <a:xfrm>
          <a:off x="8642349" y="14916150"/>
          <a:ext cx="7112001" cy="1781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Payback:</a:t>
          </a:r>
        </a:p>
        <a:p>
          <a:r>
            <a:rPr lang="en-GB" sz="1100"/>
            <a:t>To estimate how long the system will take to “pay for itself” (payback), we compare what you pay for the system with our estimate of how much you will receive in RHI payments and save on your energy use. </a:t>
          </a:r>
        </a:p>
        <a:p>
          <a:r>
            <a:rPr lang="en-GB" sz="1100"/>
            <a:t>The Government have stated that RHI payments will be linked to inflation rates and energy prices may well fluctuate, however, as we cannot accurately predict these changes and for simplicity, we have assumed no increase in either RHI payments or energy prices.</a:t>
          </a:r>
        </a:p>
        <a:p>
          <a:r>
            <a:rPr lang="en-GB" sz="1100"/>
            <a:t>It must however be remembered that the RHI will only be paid for a period of seven years. </a:t>
          </a:r>
        </a:p>
        <a:p>
          <a:r>
            <a:rPr lang="en-GB" sz="1100"/>
            <a:t>One of the following calculations to be carried out dependent on whether the system will pay for itself within 7 years. Payback may be omitted from the Performance Estimate if required.</a:t>
          </a:r>
        </a:p>
      </xdr:txBody>
    </xdr:sp>
    <xdr:clientData/>
  </xdr:twoCellAnchor>
  <xdr:twoCellAnchor>
    <xdr:from>
      <xdr:col>5</xdr:col>
      <xdr:colOff>63500</xdr:colOff>
      <xdr:row>65</xdr:row>
      <xdr:rowOff>28575</xdr:rowOff>
    </xdr:from>
    <xdr:to>
      <xdr:col>15</xdr:col>
      <xdr:colOff>476250</xdr:colOff>
      <xdr:row>67</xdr:row>
      <xdr:rowOff>76200</xdr:rowOff>
    </xdr:to>
    <xdr:sp macro="" textlink="">
      <xdr:nvSpPr>
        <xdr:cNvPr id="4" name="TextBox 3">
          <a:extLst>
            <a:ext uri="{FF2B5EF4-FFF2-40B4-BE49-F238E27FC236}">
              <a16:creationId xmlns:a16="http://schemas.microsoft.com/office/drawing/2014/main" xmlns="" id="{00000000-0008-0000-0900-000004000000}"/>
            </a:ext>
          </a:extLst>
        </xdr:cNvPr>
        <xdr:cNvSpPr txBox="1"/>
      </xdr:nvSpPr>
      <xdr:spPr>
        <a:xfrm>
          <a:off x="9845675" y="13801725"/>
          <a:ext cx="7270750"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run cost of the unit is calculated by:</a:t>
          </a:r>
        </a:p>
        <a:p>
          <a:r>
            <a:rPr lang="en-GB" sz="1100"/>
            <a:t>(the energy</a:t>
          </a:r>
          <a:r>
            <a:rPr lang="en-GB" sz="1100" baseline="0"/>
            <a:t> required to heat the property / SPF) X  unit price of electricity</a:t>
          </a:r>
        </a:p>
        <a:p>
          <a:endParaRPr lang="en-GB" sz="1100"/>
        </a:p>
      </xdr:txBody>
    </xdr:sp>
    <xdr:clientData/>
  </xdr:twoCellAnchor>
  <xdr:oneCellAnchor>
    <xdr:from>
      <xdr:col>5</xdr:col>
      <xdr:colOff>66676</xdr:colOff>
      <xdr:row>1</xdr:row>
      <xdr:rowOff>19049</xdr:rowOff>
    </xdr:from>
    <xdr:ext cx="6610350" cy="264560"/>
    <xdr:sp macro="" textlink="">
      <xdr:nvSpPr>
        <xdr:cNvPr id="5" name="TextBox 4">
          <a:extLst>
            <a:ext uri="{FF2B5EF4-FFF2-40B4-BE49-F238E27FC236}">
              <a16:creationId xmlns:a16="http://schemas.microsoft.com/office/drawing/2014/main" xmlns="" id="{00000000-0008-0000-0900-000005000000}"/>
            </a:ext>
          </a:extLst>
        </xdr:cNvPr>
        <xdr:cNvSpPr txBox="1"/>
      </xdr:nvSpPr>
      <xdr:spPr>
        <a:xfrm>
          <a:off x="9734551" y="323849"/>
          <a:ext cx="6610350" cy="26456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This tool automatically gets filled in as the heat loss is completed please just fill in the orange boxes </a:t>
          </a:r>
        </a:p>
      </xdr:txBody>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VRVIII%20CoPs%20&amp;%20SEER%20Calculations%20V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Sheet1"/>
    </sheetNames>
    <sheetDataSet>
      <sheetData sheetId="0">
        <row r="4">
          <cell r="B4" t="str">
            <v>RXYSQ4PV</v>
          </cell>
        </row>
        <row r="5">
          <cell r="B5" t="str">
            <v>RXYSQ5PV</v>
          </cell>
        </row>
        <row r="6">
          <cell r="B6" t="str">
            <v>RXYSQ6PV</v>
          </cell>
        </row>
        <row r="7">
          <cell r="B7" t="str">
            <v>RXYSQ4PY</v>
          </cell>
        </row>
        <row r="8">
          <cell r="B8" t="str">
            <v>RXYSQ5PY</v>
          </cell>
        </row>
        <row r="9">
          <cell r="B9" t="str">
            <v>RXYSQ6PY</v>
          </cell>
        </row>
        <row r="10">
          <cell r="B10" t="str">
            <v>RXYQ5P</v>
          </cell>
        </row>
        <row r="11">
          <cell r="B11" t="str">
            <v>RXYQ8P</v>
          </cell>
        </row>
        <row r="12">
          <cell r="B12" t="str">
            <v>RXYQ10P</v>
          </cell>
        </row>
        <row r="13">
          <cell r="B13" t="str">
            <v>RXYQ12P</v>
          </cell>
        </row>
        <row r="14">
          <cell r="B14" t="str">
            <v>RXYQ14P</v>
          </cell>
        </row>
        <row r="15">
          <cell r="B15" t="str">
            <v>RXYQ16P</v>
          </cell>
        </row>
        <row r="16">
          <cell r="B16" t="str">
            <v>RXYQ18P</v>
          </cell>
        </row>
        <row r="17">
          <cell r="B17" t="str">
            <v>RXYQ20P</v>
          </cell>
        </row>
        <row r="18">
          <cell r="B18" t="str">
            <v>RXYQ22P</v>
          </cell>
        </row>
        <row r="19">
          <cell r="B19" t="str">
            <v>RXYQ24P</v>
          </cell>
        </row>
        <row r="20">
          <cell r="B20" t="str">
            <v>RXYQ26P</v>
          </cell>
        </row>
        <row r="21">
          <cell r="B21" t="str">
            <v>RXYQ28P</v>
          </cell>
        </row>
        <row r="22">
          <cell r="B22" t="str">
            <v>RXYQ30P</v>
          </cell>
        </row>
        <row r="23">
          <cell r="B23" t="str">
            <v>RXYQ32P</v>
          </cell>
        </row>
        <row r="24">
          <cell r="B24" t="str">
            <v>RXYQ34P</v>
          </cell>
        </row>
        <row r="25">
          <cell r="B25" t="str">
            <v>RXYQ36P</v>
          </cell>
        </row>
        <row r="26">
          <cell r="B26" t="str">
            <v>RXYQ38P</v>
          </cell>
        </row>
        <row r="27">
          <cell r="B27" t="str">
            <v>RXYQ40P</v>
          </cell>
        </row>
        <row r="28">
          <cell r="B28" t="str">
            <v>RXYQ42P</v>
          </cell>
        </row>
        <row r="29">
          <cell r="B29" t="str">
            <v>RXYQ44P</v>
          </cell>
        </row>
        <row r="30">
          <cell r="B30" t="str">
            <v>RXYQ46P</v>
          </cell>
        </row>
        <row r="31">
          <cell r="B31" t="str">
            <v>RXYQ48P</v>
          </cell>
        </row>
        <row r="32">
          <cell r="B32" t="str">
            <v>RXYQ50P</v>
          </cell>
        </row>
        <row r="33">
          <cell r="B33" t="str">
            <v>RXYQ52P</v>
          </cell>
        </row>
        <row r="34">
          <cell r="B34" t="str">
            <v>RXYQ54P</v>
          </cell>
        </row>
        <row r="35">
          <cell r="B35" t="str">
            <v>REYQ8PY1</v>
          </cell>
        </row>
        <row r="36">
          <cell r="B36" t="str">
            <v>REYQ10PY1</v>
          </cell>
        </row>
        <row r="37">
          <cell r="B37" t="str">
            <v>REYQ12PY1</v>
          </cell>
        </row>
        <row r="38">
          <cell r="B38" t="str">
            <v>REYQ14PY1</v>
          </cell>
        </row>
        <row r="39">
          <cell r="B39" t="str">
            <v>REYQ16PY1</v>
          </cell>
        </row>
        <row r="40">
          <cell r="B40" t="str">
            <v>REYQ18PY1</v>
          </cell>
        </row>
        <row r="41">
          <cell r="B41" t="str">
            <v>REYQ20PY1</v>
          </cell>
        </row>
        <row r="42">
          <cell r="B42" t="str">
            <v>REYQ22PY1</v>
          </cell>
        </row>
        <row r="43">
          <cell r="B43" t="str">
            <v>REYQ24PY1</v>
          </cell>
        </row>
        <row r="44">
          <cell r="B44" t="str">
            <v>REYQ26PY1</v>
          </cell>
        </row>
        <row r="45">
          <cell r="B45" t="str">
            <v>REYQ28PY1</v>
          </cell>
        </row>
        <row r="46">
          <cell r="B46" t="str">
            <v>REYQ30PY1</v>
          </cell>
        </row>
        <row r="47">
          <cell r="B47" t="str">
            <v>REYQ32PY1</v>
          </cell>
        </row>
        <row r="48">
          <cell r="B48" t="str">
            <v>REYQ34PY1</v>
          </cell>
        </row>
        <row r="49">
          <cell r="B49" t="str">
            <v>REYQ36PY1</v>
          </cell>
        </row>
        <row r="50">
          <cell r="B50" t="str">
            <v>REYQ38PY1</v>
          </cell>
        </row>
        <row r="51">
          <cell r="B51" t="str">
            <v>REYQ40PY1</v>
          </cell>
        </row>
        <row r="52">
          <cell r="B52" t="str">
            <v>REYQ42PY1</v>
          </cell>
        </row>
        <row r="53">
          <cell r="B53" t="str">
            <v>REYQ44PY1</v>
          </cell>
        </row>
        <row r="54">
          <cell r="B54" t="str">
            <v>REYQ46PY1</v>
          </cell>
        </row>
        <row r="55">
          <cell r="B55" t="str">
            <v>REYQ48PY1</v>
          </cell>
        </row>
        <row r="56">
          <cell r="B56" t="str">
            <v>RXYQ16P Hi CoP</v>
          </cell>
        </row>
        <row r="57">
          <cell r="B57" t="str">
            <v>RXYQ18P Hi CoP</v>
          </cell>
        </row>
        <row r="58">
          <cell r="B58" t="str">
            <v>RXYQ20P Hi CoP</v>
          </cell>
        </row>
        <row r="59">
          <cell r="B59" t="str">
            <v>RXYQ22P Hi CoP</v>
          </cell>
        </row>
        <row r="60">
          <cell r="B60" t="str">
            <v>RXYQ24P Hi CoP</v>
          </cell>
        </row>
        <row r="61">
          <cell r="B61" t="str">
            <v>RXYQ26P Hi CoP</v>
          </cell>
        </row>
        <row r="62">
          <cell r="B62" t="str">
            <v>RXYQ28P Hi CoP</v>
          </cell>
        </row>
        <row r="63">
          <cell r="B63" t="str">
            <v>RXYQ30P Hi CoP</v>
          </cell>
        </row>
        <row r="64">
          <cell r="B64" t="str">
            <v>RXYQ32P Hi CoP</v>
          </cell>
        </row>
        <row r="65">
          <cell r="B65" t="str">
            <v>RXYQ34P Hi CoP</v>
          </cell>
        </row>
        <row r="66">
          <cell r="B66" t="str">
            <v>RXYQ36P Hi CoP</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sales@freedomhp.co.uk" TargetMode="External"/><Relationship Id="rId2" Type="http://schemas.openxmlformats.org/officeDocument/2006/relationships/hyperlink" Target="http://www.freedomhp.co.uk/" TargetMode="External"/><Relationship Id="rId1" Type="http://schemas.openxmlformats.org/officeDocument/2006/relationships/hyperlink" Target="http://www.microgenerationcertification.org/mcs-standards/installer-standard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www.myson.co.uk/static_files/my/media/downloads/26531_Panel_Tech_Guide_WEB_WITH_DATES.pdf"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8" Type="http://schemas.openxmlformats.org/officeDocument/2006/relationships/hyperlink" Target="http://www.microgenerationcertification.org/index.php?option=com_content&amp;view=article&amp;id=46&amp;Itemid=155&amp;ID=61969" TargetMode="External"/><Relationship Id="rId3" Type="http://schemas.openxmlformats.org/officeDocument/2006/relationships/hyperlink" Target="http://www.microgenerationcertification.org/index.php?option=com_content&amp;view=article&amp;id=46&amp;Itemid=155&amp;ID=61975" TargetMode="External"/><Relationship Id="rId7" Type="http://schemas.openxmlformats.org/officeDocument/2006/relationships/hyperlink" Target="http://www.microgenerationcertification.org/index.php?option=com_content&amp;view=article&amp;id=46&amp;Itemid=155&amp;ID=61974" TargetMode="External"/><Relationship Id="rId2" Type="http://schemas.openxmlformats.org/officeDocument/2006/relationships/hyperlink" Target="http://www.microgenerationcertification.org/index.php?option=com_content&amp;view=article&amp;id=46&amp;Itemid=155&amp;ID=61978" TargetMode="External"/><Relationship Id="rId1" Type="http://schemas.openxmlformats.org/officeDocument/2006/relationships/hyperlink" Target="http://www.microgenerationcertification.org/index.php?option=com_content&amp;view=article&amp;id=46&amp;Itemid=155&amp;ID=61981" TargetMode="External"/><Relationship Id="rId6" Type="http://schemas.openxmlformats.org/officeDocument/2006/relationships/hyperlink" Target="http://www.microgenerationcertification.org/index.php?option=com_content&amp;view=article&amp;id=46&amp;Itemid=155&amp;ID=61973" TargetMode="External"/><Relationship Id="rId5" Type="http://schemas.openxmlformats.org/officeDocument/2006/relationships/hyperlink" Target="http://www.microgenerationcertification.org/index.php?option=com_content&amp;view=article&amp;id=46&amp;Itemid=155&amp;ID=61972" TargetMode="External"/><Relationship Id="rId10" Type="http://schemas.openxmlformats.org/officeDocument/2006/relationships/drawing" Target="../drawings/drawing8.xml"/><Relationship Id="rId4" Type="http://schemas.openxmlformats.org/officeDocument/2006/relationships/hyperlink" Target="http://www.microgenerationcertification.org/index.php?option=com_content&amp;view=article&amp;id=46&amp;Itemid=155&amp;ID=61971" TargetMode="External"/><Relationship Id="rId9" Type="http://schemas.openxmlformats.org/officeDocument/2006/relationships/hyperlink" Target="http://www.microgenerationcertification.org/index.php?option=com_content&amp;view=article&amp;id=46&amp;Itemid=155&amp;ID=61970"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mailto:DomesticRHI@ofgem.gov.uk"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sheetPr enableFormatConditionsCalculation="0">
    <tabColor rgb="FFFFC000"/>
    <pageSetUpPr fitToPage="1"/>
  </sheetPr>
  <dimension ref="A1:U165"/>
  <sheetViews>
    <sheetView topLeftCell="B1" workbookViewId="0">
      <selection activeCell="O23" sqref="O23"/>
    </sheetView>
  </sheetViews>
  <sheetFormatPr defaultColWidth="9.140625" defaultRowHeight="12.75"/>
  <cols>
    <col min="1" max="1" width="10.7109375" style="1" bestFit="1" customWidth="1"/>
    <col min="2" max="4" width="9.140625" style="1"/>
    <col min="5" max="5" width="12.85546875" style="1" customWidth="1"/>
    <col min="6" max="6" width="11" style="1" bestFit="1" customWidth="1"/>
    <col min="7" max="16384" width="9.140625" style="1"/>
  </cols>
  <sheetData>
    <row r="1" spans="1:21">
      <c r="A1" s="408"/>
      <c r="B1" s="409"/>
      <c r="C1" s="409"/>
      <c r="D1" s="409"/>
      <c r="E1" s="409"/>
      <c r="F1" s="409"/>
      <c r="G1" s="409"/>
      <c r="H1" s="409"/>
      <c r="I1" s="409"/>
      <c r="J1" s="409"/>
      <c r="K1" s="409"/>
      <c r="L1" s="409"/>
      <c r="M1" s="409"/>
      <c r="N1" s="409"/>
      <c r="O1" s="409"/>
      <c r="P1" s="409"/>
      <c r="Q1" s="409"/>
      <c r="R1" s="409"/>
      <c r="S1" s="409"/>
      <c r="T1" s="409"/>
      <c r="U1" s="410"/>
    </row>
    <row r="2" spans="1:21">
      <c r="A2" s="411"/>
      <c r="B2" s="17"/>
      <c r="C2" s="17"/>
      <c r="D2" s="17"/>
      <c r="E2" s="591" t="s">
        <v>1059</v>
      </c>
      <c r="F2" s="17" t="s">
        <v>910</v>
      </c>
      <c r="G2" s="17"/>
      <c r="H2" s="17"/>
      <c r="I2" s="17"/>
      <c r="J2" s="17"/>
      <c r="K2" s="17"/>
      <c r="L2" s="17"/>
      <c r="M2" s="17" t="s">
        <v>1126</v>
      </c>
      <c r="N2" s="17"/>
      <c r="O2" s="17"/>
      <c r="P2" s="17"/>
      <c r="Q2" s="17"/>
      <c r="R2" s="17"/>
      <c r="S2" s="17"/>
      <c r="T2" s="17"/>
      <c r="U2" s="412"/>
    </row>
    <row r="3" spans="1:21" ht="15">
      <c r="A3" s="411"/>
      <c r="B3" s="17"/>
      <c r="C3" s="17"/>
      <c r="D3" s="17"/>
      <c r="E3" s="591" t="s">
        <v>1060</v>
      </c>
      <c r="F3" s="413" t="s">
        <v>882</v>
      </c>
      <c r="G3" s="17"/>
      <c r="H3" s="17"/>
      <c r="I3" s="17"/>
      <c r="J3" s="17"/>
      <c r="K3" s="17"/>
      <c r="L3" s="17"/>
      <c r="M3" s="17" t="s">
        <v>1167</v>
      </c>
      <c r="N3" s="17"/>
      <c r="O3" s="17"/>
      <c r="P3" s="17"/>
      <c r="Q3" s="17"/>
      <c r="R3" s="17"/>
      <c r="S3" s="17"/>
      <c r="T3" s="17"/>
      <c r="U3" s="412"/>
    </row>
    <row r="4" spans="1:21" ht="15">
      <c r="A4" s="411"/>
      <c r="B4" s="17"/>
      <c r="C4" s="17"/>
      <c r="D4" s="17"/>
      <c r="E4" s="591" t="s">
        <v>1061</v>
      </c>
      <c r="F4" s="413" t="s">
        <v>880</v>
      </c>
      <c r="G4" s="17"/>
      <c r="H4" s="17"/>
      <c r="I4" s="17"/>
      <c r="J4" s="17"/>
      <c r="K4" s="17"/>
      <c r="L4" s="17"/>
      <c r="M4" s="414" t="s">
        <v>231</v>
      </c>
      <c r="N4" s="17"/>
      <c r="O4" s="17"/>
      <c r="P4" s="17"/>
      <c r="Q4" s="17"/>
      <c r="R4" s="17"/>
      <c r="S4" s="17"/>
      <c r="T4" s="17"/>
      <c r="U4" s="412"/>
    </row>
    <row r="5" spans="1:21">
      <c r="A5" s="411"/>
      <c r="B5" s="17"/>
      <c r="C5" s="17"/>
      <c r="D5" s="17"/>
      <c r="E5" s="17"/>
      <c r="F5" s="17"/>
      <c r="G5" s="17"/>
      <c r="H5" s="17"/>
      <c r="I5" s="17"/>
      <c r="J5" s="17"/>
      <c r="K5" s="17"/>
      <c r="L5" s="17"/>
      <c r="M5" s="17"/>
      <c r="N5" s="17"/>
      <c r="O5" s="17"/>
      <c r="P5" s="17"/>
      <c r="Q5" s="17"/>
      <c r="R5" s="17"/>
      <c r="S5" s="17"/>
      <c r="T5" s="17"/>
      <c r="U5" s="412"/>
    </row>
    <row r="6" spans="1:21" ht="23.25">
      <c r="A6" s="411"/>
      <c r="B6" s="415" t="s">
        <v>881</v>
      </c>
      <c r="C6" s="17"/>
      <c r="D6" s="17"/>
      <c r="E6" s="17"/>
      <c r="F6" s="17"/>
      <c r="G6" s="17"/>
      <c r="H6" s="17"/>
      <c r="I6" s="17"/>
      <c r="J6" s="17"/>
      <c r="K6" s="17"/>
      <c r="L6" s="17"/>
      <c r="M6" s="17"/>
      <c r="N6" s="17"/>
      <c r="O6" s="17"/>
      <c r="P6" s="17"/>
      <c r="Q6" s="17"/>
      <c r="R6" s="17"/>
      <c r="S6" s="17"/>
      <c r="T6" s="17"/>
      <c r="U6" s="412"/>
    </row>
    <row r="7" spans="1:21">
      <c r="A7" s="411"/>
      <c r="B7" s="17"/>
      <c r="C7" s="17"/>
      <c r="D7" s="17"/>
      <c r="E7" s="17"/>
      <c r="F7" s="17"/>
      <c r="G7" s="17"/>
      <c r="H7" s="17"/>
      <c r="I7" s="17"/>
      <c r="J7" s="17"/>
      <c r="K7" s="17"/>
      <c r="L7" s="17"/>
      <c r="M7" s="17"/>
      <c r="N7" s="17"/>
      <c r="O7" s="17"/>
      <c r="P7" s="17"/>
      <c r="Q7" s="17"/>
      <c r="R7" s="17"/>
      <c r="S7" s="17"/>
      <c r="T7" s="17"/>
      <c r="U7" s="412"/>
    </row>
    <row r="8" spans="1:21">
      <c r="A8" s="411"/>
      <c r="B8" s="17" t="s">
        <v>1048</v>
      </c>
      <c r="C8" s="17"/>
      <c r="D8" s="17"/>
      <c r="E8" s="17"/>
      <c r="F8" s="17"/>
      <c r="G8" s="17"/>
      <c r="H8" s="17"/>
      <c r="I8" s="17"/>
      <c r="J8" s="17"/>
      <c r="K8" s="17"/>
      <c r="L8" s="17"/>
      <c r="M8" s="17"/>
      <c r="N8" s="17"/>
      <c r="O8" s="17"/>
      <c r="P8" s="17"/>
      <c r="Q8" s="17"/>
      <c r="R8" s="17"/>
      <c r="S8" s="17"/>
      <c r="T8" s="17"/>
      <c r="U8" s="412"/>
    </row>
    <row r="9" spans="1:21">
      <c r="A9" s="411"/>
      <c r="B9" s="17" t="s">
        <v>1049</v>
      </c>
      <c r="C9" s="17"/>
      <c r="D9" s="17"/>
      <c r="E9" s="17"/>
      <c r="F9" s="17"/>
      <c r="G9" s="17"/>
      <c r="H9" s="17"/>
      <c r="I9" s="17"/>
      <c r="J9" s="17"/>
      <c r="K9" s="17"/>
      <c r="L9" s="17"/>
      <c r="M9" s="17"/>
      <c r="N9" s="17"/>
      <c r="O9" s="17"/>
      <c r="P9" s="17"/>
      <c r="Q9" s="17"/>
      <c r="R9" s="17"/>
      <c r="S9" s="17"/>
      <c r="T9" s="17"/>
      <c r="U9" s="412"/>
    </row>
    <row r="10" spans="1:21">
      <c r="A10" s="411"/>
      <c r="B10" s="17" t="s">
        <v>81</v>
      </c>
      <c r="C10" s="17"/>
      <c r="D10" s="17"/>
      <c r="E10" s="17"/>
      <c r="F10" s="17"/>
      <c r="G10" s="17"/>
      <c r="H10" s="17"/>
      <c r="I10" s="17"/>
      <c r="J10" s="17"/>
      <c r="K10" s="17"/>
      <c r="L10" s="17"/>
      <c r="M10" s="17"/>
      <c r="N10" s="17"/>
      <c r="O10" s="17"/>
      <c r="P10" s="17"/>
      <c r="Q10" s="17"/>
      <c r="R10" s="17"/>
      <c r="S10" s="17"/>
      <c r="T10" s="17"/>
      <c r="U10" s="412"/>
    </row>
    <row r="11" spans="1:21">
      <c r="A11" s="411"/>
      <c r="B11" s="17"/>
      <c r="C11" s="17"/>
      <c r="D11" s="17"/>
      <c r="E11" s="17"/>
      <c r="F11" s="17"/>
      <c r="G11" s="17"/>
      <c r="H11" s="17"/>
      <c r="I11" s="17"/>
      <c r="J11" s="17"/>
      <c r="K11" s="17"/>
      <c r="L11" s="17"/>
      <c r="M11" s="17"/>
      <c r="N11" s="17"/>
      <c r="O11" s="17"/>
      <c r="P11" s="17"/>
      <c r="Q11" s="17"/>
      <c r="R11" s="17"/>
      <c r="S11" s="17"/>
      <c r="T11" s="17"/>
      <c r="U11" s="412"/>
    </row>
    <row r="12" spans="1:21">
      <c r="A12" s="411"/>
      <c r="B12" s="17" t="s">
        <v>77</v>
      </c>
      <c r="C12" s="17"/>
      <c r="D12" s="17"/>
      <c r="E12" s="17"/>
      <c r="F12" s="17"/>
      <c r="G12" s="17"/>
      <c r="H12" s="17"/>
      <c r="I12" s="17"/>
      <c r="J12" s="17"/>
      <c r="K12" s="17"/>
      <c r="L12" s="17"/>
      <c r="M12" s="17"/>
      <c r="N12" s="17"/>
      <c r="O12" s="17"/>
      <c r="P12" s="17"/>
      <c r="Q12" s="17"/>
      <c r="R12" s="17"/>
      <c r="S12" s="17"/>
      <c r="T12" s="17"/>
      <c r="U12" s="412"/>
    </row>
    <row r="13" spans="1:21">
      <c r="A13" s="411"/>
      <c r="B13" s="17" t="s">
        <v>137</v>
      </c>
      <c r="C13" s="17"/>
      <c r="D13" s="17"/>
      <c r="E13" s="17"/>
      <c r="F13" s="17"/>
      <c r="G13" s="17"/>
      <c r="H13" s="17"/>
      <c r="I13" s="17"/>
      <c r="J13" s="17"/>
      <c r="K13" s="17"/>
      <c r="L13" s="17"/>
      <c r="M13" s="17"/>
      <c r="N13" s="17"/>
      <c r="O13" s="17"/>
      <c r="P13" s="17"/>
      <c r="Q13" s="17"/>
      <c r="R13" s="17"/>
      <c r="S13" s="17"/>
      <c r="T13" s="17"/>
      <c r="U13" s="412"/>
    </row>
    <row r="14" spans="1:21">
      <c r="A14" s="411"/>
      <c r="B14" s="17" t="s">
        <v>247</v>
      </c>
      <c r="C14" s="17"/>
      <c r="D14" s="17"/>
      <c r="E14" s="17"/>
      <c r="F14" s="17"/>
      <c r="G14" s="17"/>
      <c r="H14" s="17"/>
      <c r="I14" s="17"/>
      <c r="J14" s="17"/>
      <c r="K14" s="17"/>
      <c r="L14" s="17"/>
      <c r="M14" s="17"/>
      <c r="N14" s="17"/>
      <c r="O14" s="17"/>
      <c r="P14" s="17"/>
      <c r="Q14" s="17"/>
      <c r="R14" s="17"/>
      <c r="S14" s="17"/>
      <c r="T14" s="17"/>
      <c r="U14" s="412"/>
    </row>
    <row r="15" spans="1:21">
      <c r="A15" s="411"/>
      <c r="B15" s="17" t="s">
        <v>90</v>
      </c>
      <c r="C15" s="17"/>
      <c r="D15" s="17"/>
      <c r="E15" s="17"/>
      <c r="F15" s="17"/>
      <c r="G15" s="17"/>
      <c r="H15" s="17"/>
      <c r="I15" s="17"/>
      <c r="J15" s="17"/>
      <c r="K15" s="17"/>
      <c r="L15" s="17"/>
      <c r="M15" s="17"/>
      <c r="N15" s="17"/>
      <c r="O15" s="17"/>
      <c r="P15" s="17"/>
      <c r="Q15" s="17"/>
      <c r="R15" s="17"/>
      <c r="S15" s="17"/>
      <c r="T15" s="17"/>
      <c r="U15" s="412"/>
    </row>
    <row r="16" spans="1:21">
      <c r="A16" s="411"/>
      <c r="B16" s="17"/>
      <c r="C16" s="17"/>
      <c r="D16" s="17"/>
      <c r="E16" s="17"/>
      <c r="F16" s="17"/>
      <c r="G16" s="17"/>
      <c r="H16" s="17"/>
      <c r="I16" s="17"/>
      <c r="J16" s="17"/>
      <c r="K16" s="17"/>
      <c r="L16" s="17"/>
      <c r="M16" s="17"/>
      <c r="N16" s="17"/>
      <c r="O16" s="17"/>
      <c r="P16" s="17"/>
      <c r="Q16" s="17"/>
      <c r="R16" s="17"/>
      <c r="S16" s="17"/>
      <c r="T16" s="17"/>
      <c r="U16" s="412"/>
    </row>
    <row r="17" spans="1:21">
      <c r="A17" s="411"/>
      <c r="B17" s="17" t="s">
        <v>248</v>
      </c>
      <c r="C17" s="17"/>
      <c r="D17" s="17"/>
      <c r="E17" s="17"/>
      <c r="F17" s="17"/>
      <c r="G17" s="17"/>
      <c r="H17" s="17"/>
      <c r="I17" s="17"/>
      <c r="J17" s="17"/>
      <c r="K17" s="17"/>
      <c r="L17" s="17"/>
      <c r="M17" s="17"/>
      <c r="N17" s="17"/>
      <c r="O17" s="17"/>
      <c r="P17" s="17"/>
      <c r="Q17" s="17"/>
      <c r="R17" s="17"/>
      <c r="S17" s="17"/>
      <c r="T17" s="17"/>
      <c r="U17" s="412"/>
    </row>
    <row r="18" spans="1:21">
      <c r="A18" s="411"/>
      <c r="B18" s="17" t="s">
        <v>76</v>
      </c>
      <c r="C18" s="17"/>
      <c r="D18" s="17"/>
      <c r="E18" s="17"/>
      <c r="F18" s="17"/>
      <c r="G18" s="17"/>
      <c r="H18" s="17"/>
      <c r="I18" s="17"/>
      <c r="J18" s="17"/>
      <c r="K18" s="17"/>
      <c r="L18" s="17"/>
      <c r="M18" s="17"/>
      <c r="N18" s="17"/>
      <c r="O18" s="17"/>
      <c r="P18" s="17"/>
      <c r="Q18" s="17"/>
      <c r="R18" s="17"/>
      <c r="S18" s="17"/>
      <c r="T18" s="17"/>
      <c r="U18" s="412"/>
    </row>
    <row r="19" spans="1:21">
      <c r="A19" s="411"/>
      <c r="B19" s="17"/>
      <c r="C19" s="17"/>
      <c r="D19" s="17"/>
      <c r="E19" s="17"/>
      <c r="F19" s="17"/>
      <c r="G19" s="17"/>
      <c r="H19" s="17"/>
      <c r="I19" s="17"/>
      <c r="J19" s="17"/>
      <c r="K19" s="17"/>
      <c r="L19" s="17"/>
      <c r="M19" s="17"/>
      <c r="N19" s="17"/>
      <c r="O19" s="17"/>
      <c r="P19" s="17"/>
      <c r="Q19" s="17"/>
      <c r="R19" s="17"/>
      <c r="S19" s="17"/>
      <c r="T19" s="17"/>
      <c r="U19" s="412"/>
    </row>
    <row r="20" spans="1:21">
      <c r="A20" s="411"/>
      <c r="B20" s="17" t="s">
        <v>78</v>
      </c>
      <c r="C20" s="17"/>
      <c r="D20" s="17"/>
      <c r="E20" s="17"/>
      <c r="F20" s="17"/>
      <c r="G20" s="17"/>
      <c r="H20" s="17"/>
      <c r="I20" s="17"/>
      <c r="J20" s="17"/>
      <c r="K20" s="17"/>
      <c r="L20" s="17"/>
      <c r="M20" s="17"/>
      <c r="N20" s="17"/>
      <c r="O20" s="17"/>
      <c r="P20" s="17"/>
      <c r="Q20" s="17"/>
      <c r="R20" s="17"/>
      <c r="S20" s="17"/>
      <c r="T20" s="17"/>
      <c r="U20" s="412"/>
    </row>
    <row r="21" spans="1:21">
      <c r="A21" s="411"/>
      <c r="B21" s="17"/>
      <c r="C21" s="17"/>
      <c r="D21" s="17"/>
      <c r="E21" s="17"/>
      <c r="F21" s="17"/>
      <c r="G21" s="17"/>
      <c r="H21" s="17"/>
      <c r="I21" s="17"/>
      <c r="J21" s="17"/>
      <c r="K21" s="17"/>
      <c r="L21" s="17"/>
      <c r="M21" s="17"/>
      <c r="N21" s="17"/>
      <c r="O21" s="17"/>
      <c r="P21" s="17"/>
      <c r="Q21" s="17"/>
      <c r="R21" s="17"/>
      <c r="S21" s="17"/>
      <c r="T21" s="17"/>
      <c r="U21" s="412"/>
    </row>
    <row r="22" spans="1:21">
      <c r="A22" s="411"/>
      <c r="B22" s="17" t="s">
        <v>701</v>
      </c>
      <c r="C22" s="17"/>
      <c r="D22" s="17"/>
      <c r="E22" s="17"/>
      <c r="F22" s="17"/>
      <c r="G22" s="17"/>
      <c r="H22" s="17"/>
      <c r="I22" s="17"/>
      <c r="J22" s="17"/>
      <c r="K22" s="17"/>
      <c r="L22" s="17"/>
      <c r="M22" s="17"/>
      <c r="N22" s="17"/>
      <c r="O22" s="17"/>
      <c r="P22" s="17"/>
      <c r="Q22" s="17"/>
      <c r="R22" s="17"/>
      <c r="S22" s="17"/>
      <c r="T22" s="17"/>
      <c r="U22" s="412"/>
    </row>
    <row r="23" spans="1:21">
      <c r="A23" s="411"/>
      <c r="B23" s="17" t="s">
        <v>696</v>
      </c>
      <c r="C23" s="17"/>
      <c r="D23" s="17"/>
      <c r="E23" s="17"/>
      <c r="F23" s="17"/>
      <c r="G23" s="17"/>
      <c r="H23" s="17"/>
      <c r="I23" s="17"/>
      <c r="J23" s="17"/>
      <c r="K23" s="17"/>
      <c r="L23" s="17"/>
      <c r="M23" s="17"/>
      <c r="N23" s="17"/>
      <c r="O23" s="17"/>
      <c r="P23" s="17"/>
      <c r="Q23" s="17"/>
      <c r="R23" s="17"/>
      <c r="S23" s="17"/>
      <c r="T23" s="17"/>
      <c r="U23" s="412"/>
    </row>
    <row r="24" spans="1:21">
      <c r="A24" s="411"/>
      <c r="B24" s="17" t="s">
        <v>1050</v>
      </c>
      <c r="C24" s="17"/>
      <c r="D24" s="17"/>
      <c r="E24" s="17"/>
      <c r="F24" s="17"/>
      <c r="G24" s="17"/>
      <c r="H24" s="17"/>
      <c r="I24" s="17"/>
      <c r="J24" s="17"/>
      <c r="K24" s="17"/>
      <c r="L24" s="17"/>
      <c r="M24" s="17"/>
      <c r="N24" s="17"/>
      <c r="O24" s="17"/>
      <c r="P24" s="17"/>
      <c r="Q24" s="17"/>
      <c r="R24" s="17"/>
      <c r="S24" s="17"/>
      <c r="T24" s="17"/>
      <c r="U24" s="412"/>
    </row>
    <row r="25" spans="1:21">
      <c r="A25" s="411"/>
      <c r="B25" s="17"/>
      <c r="C25" s="17"/>
      <c r="D25" s="17"/>
      <c r="E25" s="17"/>
      <c r="F25" s="17"/>
      <c r="G25" s="17"/>
      <c r="H25" s="17"/>
      <c r="I25" s="17"/>
      <c r="J25" s="17"/>
      <c r="K25" s="17"/>
      <c r="L25" s="17"/>
      <c r="M25" s="17"/>
      <c r="N25" s="17"/>
      <c r="O25" s="17"/>
      <c r="P25" s="17"/>
      <c r="Q25" s="17"/>
      <c r="R25" s="17"/>
      <c r="S25" s="17"/>
      <c r="T25" s="17"/>
      <c r="U25" s="412"/>
    </row>
    <row r="26" spans="1:21">
      <c r="A26" s="411"/>
      <c r="B26" s="17" t="s">
        <v>79</v>
      </c>
      <c r="C26" s="17"/>
      <c r="D26" s="17"/>
      <c r="E26" s="17"/>
      <c r="F26" s="17"/>
      <c r="G26" s="17"/>
      <c r="H26" s="17"/>
      <c r="I26" s="17"/>
      <c r="J26" s="17"/>
      <c r="K26" s="17"/>
      <c r="L26" s="17"/>
      <c r="M26" s="17"/>
      <c r="N26" s="17"/>
      <c r="O26" s="17"/>
      <c r="P26" s="17"/>
      <c r="Q26" s="17"/>
      <c r="R26" s="17"/>
      <c r="S26" s="17"/>
      <c r="T26" s="17"/>
      <c r="U26" s="412"/>
    </row>
    <row r="27" spans="1:21">
      <c r="A27" s="411"/>
      <c r="B27" s="17"/>
      <c r="C27" s="17"/>
      <c r="D27" s="17"/>
      <c r="E27" s="17"/>
      <c r="F27" s="17"/>
      <c r="G27" s="17"/>
      <c r="H27" s="17"/>
      <c r="I27" s="17"/>
      <c r="J27" s="17"/>
      <c r="K27" s="17"/>
      <c r="L27" s="17"/>
      <c r="M27" s="17"/>
      <c r="N27" s="17"/>
      <c r="O27" s="17"/>
      <c r="P27" s="17"/>
      <c r="Q27" s="17"/>
      <c r="R27" s="17"/>
      <c r="S27" s="17"/>
      <c r="T27" s="17"/>
      <c r="U27" s="412"/>
    </row>
    <row r="28" spans="1:21">
      <c r="A28" s="411"/>
      <c r="B28" s="17" t="s">
        <v>80</v>
      </c>
      <c r="C28" s="17"/>
      <c r="D28" s="17"/>
      <c r="E28" s="17"/>
      <c r="F28" s="17"/>
      <c r="G28" s="17"/>
      <c r="H28" s="17"/>
      <c r="I28" s="17"/>
      <c r="J28" s="17"/>
      <c r="K28" s="17"/>
      <c r="L28" s="17"/>
      <c r="M28" s="17"/>
      <c r="N28" s="17"/>
      <c r="O28" s="17"/>
      <c r="P28" s="17"/>
      <c r="Q28" s="17"/>
      <c r="R28" s="17"/>
      <c r="S28" s="17"/>
      <c r="T28" s="17"/>
      <c r="U28" s="412"/>
    </row>
    <row r="29" spans="1:21">
      <c r="A29" s="411"/>
      <c r="B29" s="17" t="s">
        <v>1051</v>
      </c>
      <c r="C29" s="17"/>
      <c r="D29" s="17"/>
      <c r="E29" s="17"/>
      <c r="F29" s="17"/>
      <c r="G29" s="17"/>
      <c r="H29" s="17"/>
      <c r="I29" s="17"/>
      <c r="J29" s="17"/>
      <c r="K29" s="17"/>
      <c r="L29" s="17"/>
      <c r="M29" s="17"/>
      <c r="N29" s="17"/>
      <c r="O29" s="17"/>
      <c r="P29" s="17"/>
      <c r="Q29" s="17"/>
      <c r="R29" s="17"/>
      <c r="S29" s="17"/>
      <c r="T29" s="17"/>
      <c r="U29" s="412"/>
    </row>
    <row r="30" spans="1:21">
      <c r="A30" s="411"/>
      <c r="B30" s="17" t="s">
        <v>1052</v>
      </c>
      <c r="C30" s="17"/>
      <c r="D30" s="17"/>
      <c r="E30" s="17"/>
      <c r="F30" s="17"/>
      <c r="G30" s="17"/>
      <c r="H30" s="17"/>
      <c r="I30" s="17"/>
      <c r="J30" s="17"/>
      <c r="K30" s="17"/>
      <c r="L30" s="17"/>
      <c r="M30" s="17"/>
      <c r="N30" s="17"/>
      <c r="O30" s="17"/>
      <c r="P30" s="17"/>
      <c r="Q30" s="17"/>
      <c r="R30" s="17"/>
      <c r="S30" s="17"/>
      <c r="T30" s="17"/>
      <c r="U30" s="412"/>
    </row>
    <row r="31" spans="1:21">
      <c r="A31" s="411"/>
      <c r="B31" s="1" t="s">
        <v>1053</v>
      </c>
      <c r="C31" s="17"/>
      <c r="D31" s="17"/>
      <c r="E31" s="17"/>
      <c r="F31" s="17"/>
      <c r="G31" s="17"/>
      <c r="H31" s="17"/>
      <c r="I31" s="17"/>
      <c r="J31" s="17"/>
      <c r="K31" s="17"/>
      <c r="L31" s="17"/>
      <c r="M31" s="17"/>
      <c r="N31" s="17"/>
      <c r="O31" s="17"/>
      <c r="P31" s="17"/>
      <c r="Q31" s="17"/>
      <c r="R31" s="17"/>
      <c r="S31" s="17"/>
      <c r="T31" s="17"/>
      <c r="U31" s="412"/>
    </row>
    <row r="32" spans="1:21">
      <c r="A32" s="411"/>
      <c r="B32" s="17"/>
      <c r="C32" s="17"/>
      <c r="D32" s="17"/>
      <c r="E32" s="17"/>
      <c r="F32" s="17"/>
      <c r="G32" s="17"/>
      <c r="H32" s="17"/>
      <c r="I32" s="17"/>
      <c r="J32" s="17"/>
      <c r="K32" s="17"/>
      <c r="L32" s="17"/>
      <c r="M32" s="17"/>
      <c r="N32" s="17"/>
      <c r="O32" s="17"/>
      <c r="P32" s="17"/>
      <c r="Q32" s="17"/>
      <c r="R32" s="17"/>
      <c r="S32" s="17"/>
      <c r="T32" s="17"/>
      <c r="U32" s="412"/>
    </row>
    <row r="33" spans="1:21">
      <c r="A33" s="411"/>
      <c r="B33" s="17"/>
      <c r="C33" s="17"/>
      <c r="D33" s="17"/>
      <c r="E33" s="17"/>
      <c r="F33" s="17"/>
      <c r="G33" s="17"/>
      <c r="H33" s="17"/>
      <c r="I33" s="17"/>
      <c r="J33" s="17"/>
      <c r="K33" s="17"/>
      <c r="L33" s="17"/>
      <c r="M33" s="17"/>
      <c r="N33" s="17"/>
      <c r="O33" s="17"/>
      <c r="P33" s="17"/>
      <c r="Q33" s="17"/>
      <c r="R33" s="17"/>
      <c r="S33" s="17"/>
      <c r="T33" s="17"/>
      <c r="U33" s="412"/>
    </row>
    <row r="34" spans="1:21">
      <c r="A34" s="411"/>
      <c r="B34" s="17"/>
      <c r="C34" s="17"/>
      <c r="D34" s="17"/>
      <c r="E34" s="17"/>
      <c r="F34" s="17"/>
      <c r="G34" s="17"/>
      <c r="H34" s="17"/>
      <c r="I34" s="17"/>
      <c r="J34" s="17"/>
      <c r="K34" s="17"/>
      <c r="L34" s="17"/>
      <c r="M34" s="17"/>
      <c r="N34" s="17"/>
      <c r="O34" s="17"/>
      <c r="P34" s="17"/>
      <c r="Q34" s="17"/>
      <c r="R34" s="17"/>
      <c r="S34" s="17"/>
      <c r="T34" s="17"/>
      <c r="U34" s="412"/>
    </row>
    <row r="35" spans="1:21">
      <c r="A35" s="411"/>
      <c r="B35" s="17"/>
      <c r="C35" s="17"/>
      <c r="D35" s="17"/>
      <c r="E35" s="17"/>
      <c r="F35" s="17"/>
      <c r="G35" s="17"/>
      <c r="H35" s="17"/>
      <c r="I35" s="17"/>
      <c r="J35" s="17"/>
      <c r="K35" s="17"/>
      <c r="L35" s="17"/>
      <c r="M35" s="17"/>
      <c r="N35" s="17"/>
      <c r="O35" s="17"/>
      <c r="P35" s="17"/>
      <c r="Q35" s="17"/>
      <c r="R35" s="17"/>
      <c r="S35" s="17"/>
      <c r="T35" s="17"/>
      <c r="U35" s="412"/>
    </row>
    <row r="36" spans="1:21">
      <c r="A36" s="411"/>
      <c r="B36" s="17"/>
      <c r="C36" s="17"/>
      <c r="D36" s="17"/>
      <c r="E36" s="17"/>
      <c r="F36" s="17"/>
      <c r="G36" s="17"/>
      <c r="H36" s="17"/>
      <c r="I36" s="17"/>
      <c r="J36" s="17"/>
      <c r="K36" s="17"/>
      <c r="L36" s="17"/>
      <c r="M36" s="17"/>
      <c r="N36" s="17"/>
      <c r="O36" s="17"/>
      <c r="P36" s="17"/>
      <c r="Q36" s="17"/>
      <c r="R36" s="17"/>
      <c r="S36" s="17"/>
      <c r="T36" s="17"/>
      <c r="U36" s="412"/>
    </row>
    <row r="37" spans="1:21">
      <c r="A37" s="411"/>
      <c r="B37" s="17"/>
      <c r="C37" s="17"/>
      <c r="D37" s="17"/>
      <c r="E37" s="17"/>
      <c r="F37" s="17"/>
      <c r="G37" s="17"/>
      <c r="H37" s="17"/>
      <c r="I37" s="17"/>
      <c r="J37" s="17"/>
      <c r="K37" s="17"/>
      <c r="L37" s="17"/>
      <c r="M37" s="17"/>
      <c r="N37" s="17"/>
      <c r="O37" s="17"/>
      <c r="P37" s="17"/>
      <c r="Q37" s="17"/>
      <c r="R37" s="17"/>
      <c r="S37" s="17"/>
      <c r="T37" s="17"/>
      <c r="U37" s="412"/>
    </row>
    <row r="38" spans="1:21">
      <c r="A38" s="411"/>
      <c r="B38" s="17"/>
      <c r="C38" s="17"/>
      <c r="D38" s="17"/>
      <c r="E38" s="17"/>
      <c r="F38" s="17"/>
      <c r="G38" s="17"/>
      <c r="H38" s="17"/>
      <c r="I38" s="17"/>
      <c r="J38" s="17"/>
      <c r="K38" s="17"/>
      <c r="L38" s="17"/>
      <c r="M38" s="17"/>
      <c r="N38" s="17"/>
      <c r="O38" s="17"/>
      <c r="P38" s="17"/>
      <c r="Q38" s="17"/>
      <c r="R38" s="17"/>
      <c r="S38" s="17"/>
      <c r="T38" s="17"/>
      <c r="U38" s="412"/>
    </row>
    <row r="39" spans="1:21">
      <c r="A39" s="411"/>
      <c r="B39" s="17"/>
      <c r="C39" s="17"/>
      <c r="D39" s="17"/>
      <c r="E39" s="17"/>
      <c r="F39" s="17"/>
      <c r="G39" s="17"/>
      <c r="H39" s="17"/>
      <c r="I39" s="17"/>
      <c r="J39" s="17"/>
      <c r="K39" s="17"/>
      <c r="L39" s="17"/>
      <c r="M39" s="17"/>
      <c r="N39" s="17"/>
      <c r="O39" s="17"/>
      <c r="P39" s="17"/>
      <c r="Q39" s="17"/>
      <c r="R39" s="17"/>
      <c r="S39" s="17"/>
      <c r="T39" s="17"/>
      <c r="U39" s="412"/>
    </row>
    <row r="40" spans="1:21">
      <c r="A40" s="411"/>
      <c r="B40" s="17"/>
      <c r="C40" s="17"/>
      <c r="D40" s="17"/>
      <c r="E40" s="17"/>
      <c r="F40" s="17"/>
      <c r="G40" s="17"/>
      <c r="H40" s="17"/>
      <c r="I40" s="17"/>
      <c r="J40" s="17"/>
      <c r="K40" s="17"/>
      <c r="L40" s="17"/>
      <c r="M40" s="17"/>
      <c r="N40" s="17"/>
      <c r="O40" s="17"/>
      <c r="P40" s="17"/>
      <c r="Q40" s="17"/>
      <c r="R40" s="17"/>
      <c r="S40" s="17"/>
      <c r="T40" s="17"/>
      <c r="U40" s="412"/>
    </row>
    <row r="41" spans="1:21">
      <c r="A41" s="411"/>
      <c r="B41" s="17"/>
      <c r="C41" s="17"/>
      <c r="D41" s="17"/>
      <c r="E41" s="17"/>
      <c r="F41" s="17"/>
      <c r="G41" s="17"/>
      <c r="H41" s="17"/>
      <c r="I41" s="17"/>
      <c r="J41" s="17"/>
      <c r="K41" s="17"/>
      <c r="L41" s="17"/>
      <c r="M41" s="17"/>
      <c r="N41" s="17"/>
      <c r="O41" s="17"/>
      <c r="P41" s="17"/>
      <c r="Q41" s="17"/>
      <c r="R41" s="17"/>
      <c r="S41" s="17"/>
      <c r="T41" s="17"/>
      <c r="U41" s="412"/>
    </row>
    <row r="42" spans="1:21">
      <c r="A42" s="411"/>
      <c r="C42" s="17"/>
      <c r="D42" s="17"/>
      <c r="E42" s="17"/>
      <c r="F42" s="17"/>
      <c r="G42" s="17"/>
      <c r="H42" s="17"/>
      <c r="I42" s="17"/>
      <c r="J42" s="17"/>
      <c r="K42" s="17"/>
      <c r="L42" s="17"/>
      <c r="M42" s="17"/>
      <c r="N42" s="17"/>
      <c r="O42" s="17"/>
      <c r="P42" s="17"/>
      <c r="Q42" s="17"/>
      <c r="R42" s="17"/>
      <c r="S42" s="17"/>
      <c r="T42" s="17"/>
      <c r="U42" s="412"/>
    </row>
    <row r="43" spans="1:21">
      <c r="A43" s="411"/>
      <c r="B43" s="17" t="s">
        <v>1054</v>
      </c>
      <c r="C43" s="17"/>
      <c r="D43" s="17"/>
      <c r="E43" s="17"/>
      <c r="F43" s="17"/>
      <c r="G43" s="17"/>
      <c r="H43" s="17"/>
      <c r="I43" s="17"/>
      <c r="J43" s="17"/>
      <c r="K43" s="17"/>
      <c r="L43" s="17"/>
      <c r="M43" s="17"/>
      <c r="N43" s="17"/>
      <c r="O43" s="17"/>
      <c r="P43" s="17"/>
      <c r="Q43" s="17"/>
      <c r="R43" s="17"/>
      <c r="S43" s="17"/>
      <c r="T43" s="17"/>
      <c r="U43" s="412"/>
    </row>
    <row r="44" spans="1:21">
      <c r="A44" s="411"/>
      <c r="B44" s="17" t="s">
        <v>1055</v>
      </c>
      <c r="C44" s="17"/>
      <c r="D44" s="17"/>
      <c r="E44" s="17"/>
      <c r="F44" s="17"/>
      <c r="G44" s="17"/>
      <c r="H44" s="17"/>
      <c r="I44" s="17"/>
      <c r="J44" s="17"/>
      <c r="K44" s="17"/>
      <c r="L44" s="17"/>
      <c r="M44" s="17"/>
      <c r="N44" s="17"/>
      <c r="O44" s="17"/>
      <c r="P44" s="17"/>
      <c r="Q44" s="17"/>
      <c r="R44" s="17"/>
      <c r="S44" s="17"/>
      <c r="T44" s="17"/>
      <c r="U44" s="412"/>
    </row>
    <row r="45" spans="1:21">
      <c r="A45" s="411"/>
      <c r="B45" s="17" t="s">
        <v>1056</v>
      </c>
      <c r="C45" s="17"/>
      <c r="D45" s="17"/>
      <c r="E45" s="17"/>
      <c r="F45" s="17"/>
      <c r="G45" s="17"/>
      <c r="H45" s="17"/>
      <c r="I45" s="17"/>
      <c r="J45" s="17"/>
      <c r="K45" s="17"/>
      <c r="L45" s="17"/>
      <c r="M45" s="17"/>
      <c r="N45" s="17"/>
      <c r="O45" s="17"/>
      <c r="P45" s="17"/>
      <c r="Q45" s="17"/>
      <c r="R45" s="17"/>
      <c r="S45" s="17"/>
      <c r="T45" s="17"/>
      <c r="U45" s="412"/>
    </row>
    <row r="46" spans="1:21">
      <c r="A46" s="411"/>
      <c r="B46" s="17"/>
      <c r="C46" s="17"/>
      <c r="D46" s="17"/>
      <c r="E46" s="17"/>
      <c r="F46" s="17"/>
      <c r="G46" s="17"/>
      <c r="H46" s="17"/>
      <c r="I46" s="17"/>
      <c r="J46" s="17"/>
      <c r="K46" s="17"/>
      <c r="L46" s="17"/>
      <c r="M46" s="17"/>
      <c r="N46" s="17"/>
      <c r="O46" s="17"/>
      <c r="P46" s="17"/>
      <c r="Q46" s="17"/>
      <c r="R46" s="17"/>
      <c r="S46" s="17"/>
      <c r="T46" s="17"/>
      <c r="U46" s="412"/>
    </row>
    <row r="47" spans="1:21">
      <c r="A47" s="411"/>
      <c r="B47" s="17"/>
      <c r="C47" s="17"/>
      <c r="D47" s="17"/>
      <c r="E47" s="17"/>
      <c r="F47" s="17"/>
      <c r="G47" s="17"/>
      <c r="H47" s="17"/>
      <c r="I47" s="17"/>
      <c r="J47" s="17"/>
      <c r="K47" s="17"/>
      <c r="L47" s="17"/>
      <c r="M47" s="17"/>
      <c r="N47" s="17"/>
      <c r="O47" s="17"/>
      <c r="P47" s="17"/>
      <c r="Q47" s="17"/>
      <c r="R47" s="17"/>
      <c r="S47" s="17"/>
      <c r="T47" s="17"/>
      <c r="U47" s="412"/>
    </row>
    <row r="48" spans="1:21">
      <c r="A48" s="411"/>
      <c r="B48" s="17"/>
      <c r="C48" s="17"/>
      <c r="D48" s="17"/>
      <c r="E48" s="17"/>
      <c r="F48" s="17"/>
      <c r="G48" s="17"/>
      <c r="H48" s="17"/>
      <c r="I48" s="17"/>
      <c r="J48" s="17"/>
      <c r="K48" s="17"/>
      <c r="L48" s="17"/>
      <c r="M48" s="17"/>
      <c r="N48" s="17"/>
      <c r="O48" s="17"/>
      <c r="P48" s="17"/>
      <c r="Q48" s="17"/>
      <c r="R48" s="17"/>
      <c r="S48" s="17"/>
      <c r="T48" s="17"/>
      <c r="U48" s="412"/>
    </row>
    <row r="49" spans="1:21">
      <c r="A49" s="411"/>
      <c r="B49" s="17"/>
      <c r="C49" s="17"/>
      <c r="D49" s="17"/>
      <c r="E49" s="17"/>
      <c r="F49" s="17"/>
      <c r="G49" s="17"/>
      <c r="H49" s="17"/>
      <c r="I49" s="17"/>
      <c r="J49" s="17"/>
      <c r="K49" s="17"/>
      <c r="L49" s="17"/>
      <c r="M49" s="17"/>
      <c r="N49" s="17"/>
      <c r="O49" s="17"/>
      <c r="P49" s="17"/>
      <c r="Q49" s="17"/>
      <c r="R49" s="17"/>
      <c r="S49" s="17"/>
      <c r="T49" s="17"/>
      <c r="U49" s="412"/>
    </row>
    <row r="50" spans="1:21">
      <c r="A50" s="411"/>
      <c r="B50" s="17"/>
      <c r="C50" s="17"/>
      <c r="D50" s="17"/>
      <c r="E50" s="17"/>
      <c r="F50" s="17"/>
      <c r="G50" s="17"/>
      <c r="H50" s="17"/>
      <c r="I50" s="17"/>
      <c r="J50" s="17"/>
      <c r="K50" s="17"/>
      <c r="L50" s="17"/>
      <c r="M50" s="17"/>
      <c r="N50" s="17"/>
      <c r="O50" s="17"/>
      <c r="P50" s="17"/>
      <c r="Q50" s="17"/>
      <c r="R50" s="17"/>
      <c r="S50" s="17"/>
      <c r="T50" s="17"/>
      <c r="U50" s="412"/>
    </row>
    <row r="51" spans="1:21">
      <c r="A51" s="411"/>
      <c r="B51" s="17"/>
      <c r="C51" s="17"/>
      <c r="D51" s="17"/>
      <c r="E51" s="17"/>
      <c r="F51" s="17"/>
      <c r="G51" s="17"/>
      <c r="H51" s="17"/>
      <c r="I51" s="17"/>
      <c r="J51" s="17"/>
      <c r="K51" s="17"/>
      <c r="L51" s="17"/>
      <c r="M51" s="17"/>
      <c r="N51" s="17"/>
      <c r="O51" s="17"/>
      <c r="P51" s="17"/>
      <c r="Q51" s="17"/>
      <c r="R51" s="17"/>
      <c r="S51" s="17"/>
      <c r="T51" s="17"/>
      <c r="U51" s="412"/>
    </row>
    <row r="52" spans="1:21">
      <c r="A52" s="411"/>
      <c r="B52" s="17" t="s">
        <v>1057</v>
      </c>
      <c r="C52" s="17"/>
      <c r="D52" s="17"/>
      <c r="E52" s="17"/>
      <c r="F52" s="17"/>
      <c r="G52" s="17"/>
      <c r="H52" s="17"/>
      <c r="I52" s="17"/>
      <c r="J52" s="17"/>
      <c r="K52" s="17"/>
      <c r="L52" s="17"/>
      <c r="M52" s="17"/>
      <c r="N52" s="17"/>
      <c r="O52" s="17"/>
      <c r="P52" s="17"/>
      <c r="Q52" s="17"/>
      <c r="R52" s="17"/>
      <c r="S52" s="17"/>
      <c r="T52" s="17"/>
      <c r="U52" s="412"/>
    </row>
    <row r="53" spans="1:21">
      <c r="A53" s="411"/>
      <c r="B53" s="17" t="s">
        <v>209</v>
      </c>
      <c r="C53" s="17"/>
      <c r="D53" s="17"/>
      <c r="E53" s="17"/>
      <c r="F53" s="17"/>
      <c r="G53" s="17"/>
      <c r="H53" s="17"/>
      <c r="I53" s="17"/>
      <c r="J53" s="17"/>
      <c r="K53" s="17"/>
      <c r="L53" s="17"/>
      <c r="M53" s="17"/>
      <c r="N53" s="17"/>
      <c r="O53" s="17"/>
      <c r="P53" s="17"/>
      <c r="Q53" s="17"/>
      <c r="R53" s="17"/>
      <c r="S53" s="17"/>
      <c r="T53" s="17"/>
      <c r="U53" s="412"/>
    </row>
    <row r="54" spans="1:21">
      <c r="A54" s="411"/>
      <c r="B54" s="17"/>
      <c r="C54" s="17"/>
      <c r="D54" s="17"/>
      <c r="E54" s="17"/>
      <c r="F54" s="17"/>
      <c r="G54" s="17"/>
      <c r="H54" s="17"/>
      <c r="I54" s="17"/>
      <c r="J54" s="17"/>
      <c r="K54" s="17"/>
      <c r="L54" s="17"/>
      <c r="M54" s="17"/>
      <c r="N54" s="17"/>
      <c r="O54" s="17"/>
      <c r="P54" s="17"/>
      <c r="Q54" s="17"/>
      <c r="R54" s="17"/>
      <c r="S54" s="17"/>
      <c r="T54" s="17"/>
      <c r="U54" s="412"/>
    </row>
    <row r="55" spans="1:21">
      <c r="A55" s="411"/>
      <c r="B55" s="17" t="s">
        <v>210</v>
      </c>
      <c r="C55" s="17"/>
      <c r="D55" s="17"/>
      <c r="E55" s="17"/>
      <c r="F55" s="17"/>
      <c r="G55" s="17"/>
      <c r="H55" s="17"/>
      <c r="I55" s="17"/>
      <c r="J55" s="17"/>
      <c r="K55" s="17"/>
      <c r="L55" s="17"/>
      <c r="M55" s="17"/>
      <c r="N55" s="17"/>
      <c r="O55" s="17"/>
      <c r="P55" s="17"/>
      <c r="Q55" s="17"/>
      <c r="R55" s="17"/>
      <c r="S55" s="17"/>
      <c r="T55" s="17"/>
      <c r="U55" s="412"/>
    </row>
    <row r="56" spans="1:21">
      <c r="A56" s="411"/>
      <c r="B56" s="17"/>
      <c r="C56" s="17"/>
      <c r="D56" s="17"/>
      <c r="E56" s="17"/>
      <c r="F56" s="17"/>
      <c r="G56" s="17"/>
      <c r="H56" s="17"/>
      <c r="I56" s="17"/>
      <c r="J56" s="17"/>
      <c r="K56" s="17"/>
      <c r="L56" s="17"/>
      <c r="M56" s="17"/>
      <c r="N56" s="17"/>
      <c r="O56" s="17"/>
      <c r="P56" s="17"/>
      <c r="Q56" s="17"/>
      <c r="R56" s="17"/>
      <c r="S56" s="17"/>
      <c r="T56" s="17"/>
      <c r="U56" s="412"/>
    </row>
    <row r="57" spans="1:21">
      <c r="A57" s="416"/>
      <c r="B57" s="417"/>
      <c r="C57" s="417"/>
      <c r="D57" s="417"/>
      <c r="E57" s="417"/>
      <c r="F57" s="417"/>
      <c r="G57" s="417"/>
      <c r="H57" s="417"/>
      <c r="I57" s="417"/>
      <c r="J57" s="417"/>
      <c r="K57" s="417"/>
      <c r="L57" s="417"/>
      <c r="M57" s="417"/>
      <c r="N57" s="417"/>
      <c r="O57" s="417"/>
      <c r="P57" s="417"/>
      <c r="Q57" s="417"/>
      <c r="R57" s="417"/>
      <c r="S57" s="417"/>
      <c r="T57" s="417"/>
      <c r="U57" s="418"/>
    </row>
    <row r="63" spans="1:21">
      <c r="A63" s="125"/>
    </row>
    <row r="64" spans="1:21" ht="15">
      <c r="A64" s="126" t="s">
        <v>395</v>
      </c>
    </row>
    <row r="65" spans="1:2" ht="15">
      <c r="A65" s="127">
        <v>41736</v>
      </c>
      <c r="B65" s="118"/>
    </row>
    <row r="66" spans="1:2" ht="15">
      <c r="A66" s="128" t="s">
        <v>396</v>
      </c>
    </row>
    <row r="67" spans="1:2" ht="15">
      <c r="A67" s="128" t="s">
        <v>397</v>
      </c>
    </row>
    <row r="68" spans="1:2">
      <c r="A68" s="127">
        <v>41740</v>
      </c>
    </row>
    <row r="69" spans="1:2" ht="15">
      <c r="A69" s="128" t="s">
        <v>504</v>
      </c>
    </row>
    <row r="70" spans="1:2" ht="15">
      <c r="A70" s="128" t="s">
        <v>506</v>
      </c>
    </row>
    <row r="71" spans="1:2" ht="15">
      <c r="A71" s="129">
        <v>41771</v>
      </c>
    </row>
    <row r="72" spans="1:2">
      <c r="A72" s="125" t="s">
        <v>507</v>
      </c>
    </row>
    <row r="73" spans="1:2">
      <c r="A73" s="125" t="s">
        <v>508</v>
      </c>
    </row>
    <row r="74" spans="1:2">
      <c r="A74" s="125" t="s">
        <v>512</v>
      </c>
    </row>
    <row r="75" spans="1:2">
      <c r="A75" s="125" t="s">
        <v>509</v>
      </c>
    </row>
    <row r="76" spans="1:2">
      <c r="A76" s="125" t="s">
        <v>510</v>
      </c>
    </row>
    <row r="77" spans="1:2">
      <c r="A77" s="125" t="s">
        <v>513</v>
      </c>
    </row>
    <row r="78" spans="1:2">
      <c r="A78" s="125" t="s">
        <v>514</v>
      </c>
    </row>
    <row r="79" spans="1:2">
      <c r="A79" s="125" t="s">
        <v>515</v>
      </c>
    </row>
    <row r="80" spans="1:2">
      <c r="A80" s="125" t="s">
        <v>518</v>
      </c>
    </row>
    <row r="81" spans="1:1">
      <c r="A81" s="125" t="s">
        <v>519</v>
      </c>
    </row>
    <row r="82" spans="1:1">
      <c r="A82" s="125" t="s">
        <v>520</v>
      </c>
    </row>
    <row r="83" spans="1:1">
      <c r="A83" s="125" t="s">
        <v>521</v>
      </c>
    </row>
    <row r="84" spans="1:1">
      <c r="A84" s="125" t="s">
        <v>523</v>
      </c>
    </row>
    <row r="85" spans="1:1">
      <c r="A85" s="125" t="s">
        <v>524</v>
      </c>
    </row>
    <row r="86" spans="1:1">
      <c r="A86" s="125" t="s">
        <v>537</v>
      </c>
    </row>
    <row r="87" spans="1:1">
      <c r="A87" s="125" t="s">
        <v>538</v>
      </c>
    </row>
    <row r="88" spans="1:1">
      <c r="A88" s="125" t="s">
        <v>539</v>
      </c>
    </row>
    <row r="89" spans="1:1">
      <c r="A89" s="125" t="s">
        <v>540</v>
      </c>
    </row>
    <row r="90" spans="1:1">
      <c r="A90" s="125" t="s">
        <v>543</v>
      </c>
    </row>
    <row r="91" spans="1:1">
      <c r="A91" s="125" t="s">
        <v>542</v>
      </c>
    </row>
    <row r="92" spans="1:1">
      <c r="A92" s="125" t="s">
        <v>544</v>
      </c>
    </row>
    <row r="93" spans="1:1">
      <c r="A93" s="125" t="s">
        <v>545</v>
      </c>
    </row>
    <row r="94" spans="1:1">
      <c r="A94" s="125" t="s">
        <v>546</v>
      </c>
    </row>
    <row r="95" spans="1:1">
      <c r="A95" s="125" t="s">
        <v>697</v>
      </c>
    </row>
    <row r="96" spans="1:1">
      <c r="A96" s="125" t="s">
        <v>698</v>
      </c>
    </row>
    <row r="97" spans="1:1">
      <c r="A97" s="125" t="s">
        <v>699</v>
      </c>
    </row>
    <row r="98" spans="1:1">
      <c r="A98" s="125" t="s">
        <v>700</v>
      </c>
    </row>
    <row r="99" spans="1:1">
      <c r="A99" s="125" t="s">
        <v>702</v>
      </c>
    </row>
    <row r="100" spans="1:1">
      <c r="A100" s="125" t="s">
        <v>733</v>
      </c>
    </row>
    <row r="101" spans="1:1">
      <c r="A101" s="125" t="s">
        <v>703</v>
      </c>
    </row>
    <row r="102" spans="1:1">
      <c r="A102" s="125" t="s">
        <v>704</v>
      </c>
    </row>
    <row r="103" spans="1:1">
      <c r="A103" s="125" t="s">
        <v>706</v>
      </c>
    </row>
    <row r="104" spans="1:1">
      <c r="A104" s="125" t="s">
        <v>708</v>
      </c>
    </row>
    <row r="105" spans="1:1">
      <c r="A105" s="125" t="s">
        <v>709</v>
      </c>
    </row>
    <row r="106" spans="1:1">
      <c r="A106" s="125" t="s">
        <v>732</v>
      </c>
    </row>
    <row r="107" spans="1:1">
      <c r="A107" s="125" t="s">
        <v>734</v>
      </c>
    </row>
    <row r="108" spans="1:1">
      <c r="A108" s="125" t="s">
        <v>736</v>
      </c>
    </row>
    <row r="109" spans="1:1">
      <c r="A109" s="125" t="s">
        <v>737</v>
      </c>
    </row>
    <row r="110" spans="1:1">
      <c r="A110" s="125" t="s">
        <v>739</v>
      </c>
    </row>
    <row r="111" spans="1:1">
      <c r="A111" s="125" t="s">
        <v>740</v>
      </c>
    </row>
    <row r="112" spans="1:1">
      <c r="A112" s="125" t="s">
        <v>758</v>
      </c>
    </row>
    <row r="113" spans="1:1">
      <c r="A113" s="125" t="s">
        <v>799</v>
      </c>
    </row>
    <row r="114" spans="1:1">
      <c r="A114" s="125" t="s">
        <v>800</v>
      </c>
    </row>
    <row r="115" spans="1:1">
      <c r="A115" s="125" t="s">
        <v>802</v>
      </c>
    </row>
    <row r="116" spans="1:1">
      <c r="A116" s="125" t="s">
        <v>803</v>
      </c>
    </row>
    <row r="117" spans="1:1">
      <c r="A117" s="125" t="s">
        <v>807</v>
      </c>
    </row>
    <row r="118" spans="1:1">
      <c r="A118" s="125" t="s">
        <v>809</v>
      </c>
    </row>
    <row r="119" spans="1:1">
      <c r="A119" s="125" t="s">
        <v>810</v>
      </c>
    </row>
    <row r="120" spans="1:1">
      <c r="A120" s="125" t="s">
        <v>817</v>
      </c>
    </row>
    <row r="121" spans="1:1">
      <c r="A121" s="125" t="s">
        <v>818</v>
      </c>
    </row>
    <row r="122" spans="1:1">
      <c r="A122" s="125" t="s">
        <v>821</v>
      </c>
    </row>
    <row r="123" spans="1:1">
      <c r="A123" s="125" t="s">
        <v>826</v>
      </c>
    </row>
    <row r="124" spans="1:1">
      <c r="A124" s="125" t="s">
        <v>827</v>
      </c>
    </row>
    <row r="125" spans="1:1">
      <c r="A125" s="125" t="s">
        <v>828</v>
      </c>
    </row>
    <row r="126" spans="1:1">
      <c r="A126" s="125" t="s">
        <v>829</v>
      </c>
    </row>
    <row r="127" spans="1:1">
      <c r="A127" s="125" t="s">
        <v>830</v>
      </c>
    </row>
    <row r="128" spans="1:1">
      <c r="A128" s="125" t="s">
        <v>833</v>
      </c>
    </row>
    <row r="129" spans="1:1">
      <c r="A129" s="125" t="s">
        <v>911</v>
      </c>
    </row>
    <row r="130" spans="1:1">
      <c r="A130" s="125" t="s">
        <v>914</v>
      </c>
    </row>
    <row r="131" spans="1:1">
      <c r="A131" s="125" t="s">
        <v>915</v>
      </c>
    </row>
    <row r="132" spans="1:1">
      <c r="A132" s="125" t="s">
        <v>916</v>
      </c>
    </row>
    <row r="133" spans="1:1">
      <c r="A133" s="125" t="s">
        <v>924</v>
      </c>
    </row>
    <row r="134" spans="1:1">
      <c r="A134" s="125" t="s">
        <v>926</v>
      </c>
    </row>
    <row r="135" spans="1:1">
      <c r="A135" s="125" t="s">
        <v>927</v>
      </c>
    </row>
    <row r="136" spans="1:1">
      <c r="A136" s="125" t="s">
        <v>954</v>
      </c>
    </row>
    <row r="137" spans="1:1">
      <c r="A137" s="125" t="s">
        <v>955</v>
      </c>
    </row>
    <row r="138" spans="1:1">
      <c r="A138" s="125" t="s">
        <v>957</v>
      </c>
    </row>
    <row r="139" spans="1:1">
      <c r="A139" s="125" t="s">
        <v>970</v>
      </c>
    </row>
    <row r="140" spans="1:1">
      <c r="A140" s="125" t="s">
        <v>973</v>
      </c>
    </row>
    <row r="141" spans="1:1">
      <c r="A141" s="125" t="s">
        <v>981</v>
      </c>
    </row>
    <row r="142" spans="1:1">
      <c r="A142" s="125" t="s">
        <v>982</v>
      </c>
    </row>
    <row r="143" spans="1:1">
      <c r="A143" s="125" t="s">
        <v>983</v>
      </c>
    </row>
    <row r="144" spans="1:1">
      <c r="A144" s="125" t="s">
        <v>986</v>
      </c>
    </row>
    <row r="145" spans="1:1">
      <c r="A145" s="125" t="s">
        <v>987</v>
      </c>
    </row>
    <row r="146" spans="1:1">
      <c r="A146" s="125" t="s">
        <v>1066</v>
      </c>
    </row>
    <row r="147" spans="1:1">
      <c r="A147" s="125" t="s">
        <v>1067</v>
      </c>
    </row>
    <row r="148" spans="1:1">
      <c r="A148" s="125" t="s">
        <v>1068</v>
      </c>
    </row>
    <row r="149" spans="1:1">
      <c r="A149" s="125" t="s">
        <v>1069</v>
      </c>
    </row>
    <row r="150" spans="1:1">
      <c r="A150" s="1" t="s">
        <v>1070</v>
      </c>
    </row>
    <row r="151" spans="1:1">
      <c r="A151" s="1" t="s">
        <v>1077</v>
      </c>
    </row>
    <row r="152" spans="1:1">
      <c r="A152" s="1" t="s">
        <v>1078</v>
      </c>
    </row>
    <row r="153" spans="1:1">
      <c r="A153" s="1" t="s">
        <v>1079</v>
      </c>
    </row>
    <row r="154" spans="1:1">
      <c r="A154" s="1" t="s">
        <v>1086</v>
      </c>
    </row>
    <row r="155" spans="1:1">
      <c r="A155" s="1" t="s">
        <v>1087</v>
      </c>
    </row>
    <row r="156" spans="1:1">
      <c r="A156" s="1" t="s">
        <v>1088</v>
      </c>
    </row>
    <row r="157" spans="1:1">
      <c r="A157" s="1" t="s">
        <v>1089</v>
      </c>
    </row>
    <row r="158" spans="1:1">
      <c r="A158" s="1" t="s">
        <v>1092</v>
      </c>
    </row>
    <row r="159" spans="1:1">
      <c r="A159" s="1" t="s">
        <v>1093</v>
      </c>
    </row>
    <row r="160" spans="1:1">
      <c r="A160" s="1" t="s">
        <v>1098</v>
      </c>
    </row>
    <row r="161" spans="1:2">
      <c r="A161" s="1" t="s">
        <v>1120</v>
      </c>
    </row>
    <row r="162" spans="1:2">
      <c r="A162" s="1" t="s">
        <v>1121</v>
      </c>
    </row>
    <row r="163" spans="1:2">
      <c r="A163" s="1" t="s">
        <v>1122</v>
      </c>
    </row>
    <row r="164" spans="1:2">
      <c r="A164" s="1" t="s">
        <v>1158</v>
      </c>
    </row>
    <row r="165" spans="1:2">
      <c r="A165" s="1" t="s">
        <v>1166</v>
      </c>
      <c r="B165" s="1" t="s">
        <v>1165</v>
      </c>
    </row>
  </sheetData>
  <sheetProtection selectLockedCells="1" selectUnlockedCells="1"/>
  <hyperlinks>
    <hyperlink ref="M4" r:id="rId1"/>
    <hyperlink ref="F4" r:id="rId2"/>
    <hyperlink ref="F3" r:id="rId3"/>
  </hyperlinks>
  <pageMargins left="0.7" right="0.7" top="0.75" bottom="0.75" header="0.3" footer="0.3"/>
  <pageSetup paperSize="9" scale="44" fitToHeight="0" orientation="portrait" horizontalDpi="4294967293" verticalDpi="4294967293"/>
  <headerFooter>
    <oddHeader xml:space="preserve">&amp;C&amp;"Arial,Regular"&amp;14
www.samsungehs.co.uk&amp;"-,Regular"&amp;16
&amp;R
</oddHeader>
  </headerFooter>
  <drawing r:id="rId4"/>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sheetPr enableFormatConditionsCalculation="0">
    <tabColor rgb="FF94BBDE"/>
  </sheetPr>
  <dimension ref="A1:S248"/>
  <sheetViews>
    <sheetView workbookViewId="0">
      <selection activeCell="F21" sqref="F21"/>
    </sheetView>
  </sheetViews>
  <sheetFormatPr defaultColWidth="20.85546875" defaultRowHeight="14.25" customHeight="1"/>
  <cols>
    <col min="1" max="1" width="32.140625" style="1" customWidth="1"/>
    <col min="2" max="2" width="26.140625" style="1" customWidth="1"/>
    <col min="3" max="3" width="10" style="1" customWidth="1"/>
    <col min="4" max="4" width="12.7109375" style="1" customWidth="1"/>
    <col min="5" max="5" width="22.140625" style="1" customWidth="1"/>
    <col min="6" max="6" width="18.42578125" style="1" customWidth="1"/>
    <col min="7" max="7" width="8" style="1" customWidth="1"/>
    <col min="8" max="8" width="3.85546875" style="1" customWidth="1"/>
    <col min="9" max="9" width="37.7109375" style="1" hidden="1" customWidth="1"/>
    <col min="10" max="10" width="11.28515625" style="1" hidden="1" customWidth="1"/>
    <col min="11" max="11" width="9.42578125" style="1" hidden="1" customWidth="1"/>
    <col min="12" max="12" width="10.140625" style="7" hidden="1" customWidth="1"/>
    <col min="13" max="14" width="20.85546875" style="7" customWidth="1"/>
    <col min="15" max="15" width="20.85546875" style="1" hidden="1" customWidth="1"/>
    <col min="16" max="16384" width="20.85546875" style="1"/>
  </cols>
  <sheetData>
    <row r="1" spans="1:15" ht="14.25" customHeight="1" thickBot="1">
      <c r="A1" s="319"/>
      <c r="B1" s="263"/>
      <c r="C1" s="263"/>
      <c r="D1" s="263"/>
      <c r="E1" s="263"/>
      <c r="F1" s="263"/>
      <c r="G1" s="525"/>
      <c r="L1" s="8"/>
      <c r="M1" s="1"/>
      <c r="N1" s="1"/>
    </row>
    <row r="2" spans="1:15" ht="16.5" customHeight="1">
      <c r="A2" s="272"/>
      <c r="B2" s="510" t="s">
        <v>12</v>
      </c>
      <c r="C2" s="25"/>
      <c r="D2" s="25"/>
      <c r="E2" s="26"/>
      <c r="F2" s="393"/>
      <c r="G2" s="526"/>
      <c r="I2" s="2" t="s">
        <v>6</v>
      </c>
      <c r="J2" s="2" t="s">
        <v>848</v>
      </c>
      <c r="L2" s="8"/>
      <c r="M2" s="1"/>
      <c r="N2" s="1"/>
    </row>
    <row r="3" spans="1:15" ht="14.25" customHeight="1">
      <c r="A3" s="272"/>
      <c r="B3" s="511" t="s">
        <v>236</v>
      </c>
      <c r="C3" s="220"/>
      <c r="D3" s="220"/>
      <c r="E3" s="222"/>
      <c r="F3" s="393"/>
      <c r="G3" s="526"/>
      <c r="I3" s="3" t="s">
        <v>860</v>
      </c>
      <c r="J3" s="218">
        <v>0.25</v>
      </c>
      <c r="L3" s="8"/>
      <c r="M3" s="1"/>
      <c r="N3" s="1"/>
    </row>
    <row r="4" spans="1:15" ht="14.25" customHeight="1" thickBot="1">
      <c r="A4" s="272"/>
      <c r="B4" s="512" t="s">
        <v>13</v>
      </c>
      <c r="C4" s="223"/>
      <c r="D4" s="223"/>
      <c r="E4" s="524"/>
      <c r="F4" s="393"/>
      <c r="G4" s="526"/>
      <c r="I4" s="3" t="s">
        <v>275</v>
      </c>
      <c r="J4" s="4">
        <v>0.22</v>
      </c>
      <c r="L4" s="8"/>
      <c r="M4" s="1"/>
      <c r="N4" s="1"/>
    </row>
    <row r="5" spans="1:15" ht="14.25" customHeight="1" thickBot="1">
      <c r="A5" s="325"/>
      <c r="B5" s="513">
        <v>42482</v>
      </c>
      <c r="C5" s="514"/>
      <c r="D5" s="514"/>
      <c r="E5" s="221" t="s">
        <v>879</v>
      </c>
      <c r="F5" s="393"/>
      <c r="G5" s="526"/>
      <c r="I5" s="3" t="s">
        <v>276</v>
      </c>
      <c r="J5" s="4">
        <v>0.11</v>
      </c>
      <c r="L5" s="8"/>
      <c r="M5" s="1"/>
      <c r="N5" s="1"/>
    </row>
    <row r="6" spans="1:15" ht="23.25">
      <c r="A6" s="268" t="s">
        <v>847</v>
      </c>
      <c r="B6" s="262"/>
      <c r="C6" s="262"/>
      <c r="D6" s="297"/>
      <c r="E6" s="392"/>
      <c r="F6" s="393"/>
      <c r="G6" s="265"/>
      <c r="I6" s="3" t="s">
        <v>277</v>
      </c>
      <c r="J6" s="4">
        <v>7.2999999999999995E-2</v>
      </c>
      <c r="L6" s="8"/>
      <c r="M6" s="1"/>
      <c r="N6" s="1"/>
    </row>
    <row r="7" spans="1:15" ht="11.25" customHeight="1">
      <c r="A7" s="271"/>
      <c r="B7" s="269"/>
      <c r="C7" s="269"/>
      <c r="D7" s="297"/>
      <c r="E7" s="392"/>
      <c r="F7" s="394"/>
      <c r="G7" s="264"/>
      <c r="I7" s="3" t="s">
        <v>20</v>
      </c>
      <c r="J7" s="4"/>
      <c r="L7" s="8"/>
      <c r="M7" s="1"/>
      <c r="N7" s="1"/>
    </row>
    <row r="8" spans="1:15" ht="12.75">
      <c r="A8" s="273" t="s">
        <v>44</v>
      </c>
      <c r="B8" s="11" t="s">
        <v>50</v>
      </c>
      <c r="C8" s="18">
        <f>VLOOKUP(B8,I14:L22,2,FALSE)</f>
        <v>-1.8</v>
      </c>
      <c r="D8" s="274" t="s">
        <v>579</v>
      </c>
      <c r="E8" s="392"/>
      <c r="F8" s="399">
        <f>C13*(B14-B11)*F15*0.001</f>
        <v>2.85</v>
      </c>
      <c r="G8" s="264"/>
      <c r="I8" s="3" t="s">
        <v>862</v>
      </c>
      <c r="J8" s="4" t="s">
        <v>212</v>
      </c>
      <c r="K8" s="7"/>
      <c r="L8" s="8"/>
      <c r="M8" s="1"/>
      <c r="N8" s="1"/>
    </row>
    <row r="9" spans="1:15" ht="14.25" customHeight="1">
      <c r="A9" s="273" t="s">
        <v>232</v>
      </c>
      <c r="B9" s="11">
        <v>1</v>
      </c>
      <c r="C9" s="18">
        <f>VLOOKUP(B8,I14:L22,3,FALSE)</f>
        <v>10.199999999999999</v>
      </c>
      <c r="D9" s="274" t="s">
        <v>577</v>
      </c>
      <c r="E9" s="392"/>
      <c r="F9" s="399">
        <f>F13*2257</f>
        <v>0</v>
      </c>
      <c r="G9" s="264"/>
      <c r="I9" s="3" t="s">
        <v>861</v>
      </c>
      <c r="J9" s="4">
        <v>1.2</v>
      </c>
      <c r="K9" s="7"/>
      <c r="L9" s="9"/>
      <c r="M9" s="1"/>
      <c r="N9" s="1"/>
    </row>
    <row r="10" spans="1:15" ht="14.25" customHeight="1">
      <c r="A10" s="527"/>
      <c r="B10" s="297"/>
      <c r="C10" s="269"/>
      <c r="D10" s="297"/>
      <c r="E10" s="392"/>
      <c r="F10" s="400">
        <f>(((B14+(19*C19))*F15*0.01)/3600)</f>
        <v>9.9722222222222243E-3</v>
      </c>
      <c r="G10" s="264"/>
      <c r="I10" s="3" t="s">
        <v>863</v>
      </c>
      <c r="J10" s="4">
        <v>4.22</v>
      </c>
      <c r="K10" s="7"/>
      <c r="M10" s="1"/>
      <c r="N10" s="1"/>
    </row>
    <row r="11" spans="1:15" ht="14.25" customHeight="1">
      <c r="A11" s="272" t="s">
        <v>834</v>
      </c>
      <c r="B11" s="224">
        <v>10</v>
      </c>
      <c r="C11" s="399">
        <f>C9-(0.006*(B9))</f>
        <v>10.193999999999999</v>
      </c>
      <c r="D11" s="274"/>
      <c r="E11" s="392"/>
      <c r="F11" s="392"/>
      <c r="G11" s="264"/>
      <c r="I11" s="3" t="s">
        <v>864</v>
      </c>
      <c r="J11" s="4">
        <v>3.68</v>
      </c>
      <c r="K11" s="7"/>
      <c r="M11" s="1"/>
      <c r="N11" s="1"/>
    </row>
    <row r="12" spans="1:15" ht="14.25" customHeight="1">
      <c r="A12" s="273" t="s">
        <v>836</v>
      </c>
      <c r="B12" s="11" t="s">
        <v>860</v>
      </c>
      <c r="C12" s="317">
        <f>VLOOKUP(B12,$I$3:$J$7,2,FALSE)</f>
        <v>0.25</v>
      </c>
      <c r="D12" s="274" t="s">
        <v>848</v>
      </c>
      <c r="E12" s="392"/>
      <c r="F12" s="392"/>
      <c r="G12" s="264"/>
      <c r="I12" s="3" t="s">
        <v>865</v>
      </c>
      <c r="J12" s="4">
        <v>2.85</v>
      </c>
      <c r="L12" s="8"/>
      <c r="M12" s="1"/>
      <c r="N12" s="1"/>
    </row>
    <row r="13" spans="1:15" ht="14.25" customHeight="1">
      <c r="A13" s="273" t="s">
        <v>837</v>
      </c>
      <c r="B13" s="11" t="s">
        <v>865</v>
      </c>
      <c r="C13" s="312">
        <f>VLOOKUP(B13,$I$3:$J$12,2,FALSE)</f>
        <v>2.85</v>
      </c>
      <c r="D13" s="274" t="s">
        <v>848</v>
      </c>
      <c r="E13" s="274" t="s">
        <v>859</v>
      </c>
      <c r="F13" s="317">
        <f>(+IF(B13="no cover",F10,0))</f>
        <v>0</v>
      </c>
      <c r="G13" s="264" t="s">
        <v>857</v>
      </c>
      <c r="I13" s="2" t="s">
        <v>19</v>
      </c>
      <c r="J13" s="2" t="s">
        <v>234</v>
      </c>
      <c r="K13" s="2" t="s">
        <v>54</v>
      </c>
      <c r="L13" s="2" t="s">
        <v>233</v>
      </c>
      <c r="M13" s="1"/>
      <c r="N13" s="1"/>
    </row>
    <row r="14" spans="1:15" ht="14.25" customHeight="1">
      <c r="A14" s="273" t="s">
        <v>838</v>
      </c>
      <c r="B14" s="14">
        <v>30</v>
      </c>
      <c r="C14" s="274" t="s">
        <v>53</v>
      </c>
      <c r="D14" s="297"/>
      <c r="E14" s="396" t="s">
        <v>844</v>
      </c>
      <c r="F14" s="311">
        <f>((B18+B17)/2)*F15*1000</f>
        <v>75000</v>
      </c>
      <c r="G14" s="264" t="s">
        <v>873</v>
      </c>
      <c r="I14" s="3" t="s">
        <v>52</v>
      </c>
      <c r="J14" s="4">
        <v>-0.2</v>
      </c>
      <c r="K14" s="3">
        <v>11</v>
      </c>
      <c r="L14" s="4">
        <v>27</v>
      </c>
      <c r="M14" s="1"/>
      <c r="N14" s="1"/>
      <c r="O14" s="1" t="e">
        <f>(13.8*#REF!*#REF!)/1000000</f>
        <v>#REF!</v>
      </c>
    </row>
    <row r="15" spans="1:15" ht="15" customHeight="1">
      <c r="A15" s="273" t="s">
        <v>839</v>
      </c>
      <c r="B15" s="15">
        <v>10</v>
      </c>
      <c r="C15" s="515" t="s">
        <v>56</v>
      </c>
      <c r="D15" s="297"/>
      <c r="E15" s="296" t="s">
        <v>841</v>
      </c>
      <c r="F15" s="312">
        <f>B15*B16</f>
        <v>50</v>
      </c>
      <c r="G15" s="265"/>
      <c r="I15" s="3" t="s">
        <v>118</v>
      </c>
      <c r="J15" s="4">
        <v>-1.2</v>
      </c>
      <c r="K15" s="3">
        <v>10.5</v>
      </c>
      <c r="L15" s="4">
        <v>68</v>
      </c>
      <c r="M15" s="1"/>
      <c r="N15" s="1"/>
    </row>
    <row r="16" spans="1:15" ht="15" customHeight="1">
      <c r="A16" s="272" t="s">
        <v>842</v>
      </c>
      <c r="B16" s="15">
        <v>5</v>
      </c>
      <c r="C16" s="515" t="s">
        <v>56</v>
      </c>
      <c r="D16" s="297"/>
      <c r="E16" s="289" t="s">
        <v>871</v>
      </c>
      <c r="F16" s="312">
        <f>1/((4.128*F14)/((F17+(F10*2257))*3600))</f>
        <v>0.29539457041343675</v>
      </c>
      <c r="G16" s="398" t="s">
        <v>872</v>
      </c>
      <c r="I16" s="3" t="s">
        <v>47</v>
      </c>
      <c r="J16" s="4">
        <v>-1.6</v>
      </c>
      <c r="K16" s="3">
        <v>9.9</v>
      </c>
      <c r="L16" s="4">
        <v>67</v>
      </c>
      <c r="M16" s="1"/>
      <c r="N16" s="1"/>
    </row>
    <row r="17" spans="1:14" ht="15" customHeight="1">
      <c r="A17" s="290" t="s">
        <v>843</v>
      </c>
      <c r="B17" s="15">
        <v>2</v>
      </c>
      <c r="C17" s="515" t="s">
        <v>56</v>
      </c>
      <c r="D17" s="297"/>
      <c r="E17" s="515" t="s">
        <v>845</v>
      </c>
      <c r="F17" s="312">
        <f>((B14-C11)*((B16*B15)+(B15*B17)+(B18*B16)+(2*B15*((F15+B18)/2)))/1000)*C12</f>
        <v>2.8966275000000001</v>
      </c>
      <c r="G17" s="264" t="s">
        <v>200</v>
      </c>
      <c r="I17" s="3" t="s">
        <v>50</v>
      </c>
      <c r="J17" s="4">
        <v>-1.8</v>
      </c>
      <c r="K17" s="3">
        <v>10.199999999999999</v>
      </c>
      <c r="L17" s="4">
        <v>25</v>
      </c>
      <c r="M17" s="1"/>
      <c r="N17" s="1"/>
    </row>
    <row r="18" spans="1:14" ht="14.25" customHeight="1" thickBot="1">
      <c r="A18" s="273" t="s">
        <v>840</v>
      </c>
      <c r="B18" s="15">
        <v>1</v>
      </c>
      <c r="C18" s="515" t="s">
        <v>56</v>
      </c>
      <c r="D18" s="297"/>
      <c r="E18" s="515" t="s">
        <v>846</v>
      </c>
      <c r="F18" s="312">
        <f>(+IF(B13="no cover",F9,F8))*1.2</f>
        <v>3.42</v>
      </c>
      <c r="G18" s="264" t="s">
        <v>200</v>
      </c>
      <c r="I18" s="3" t="s">
        <v>51</v>
      </c>
      <c r="J18" s="4">
        <v>-2.2000000000000002</v>
      </c>
      <c r="K18" s="3">
        <v>10</v>
      </c>
      <c r="L18" s="4">
        <v>75</v>
      </c>
      <c r="M18" s="1"/>
      <c r="N18" s="1"/>
    </row>
    <row r="19" spans="1:14" ht="14.25" customHeight="1" thickBot="1">
      <c r="A19" s="273" t="s">
        <v>858</v>
      </c>
      <c r="B19" s="15" t="s">
        <v>877</v>
      </c>
      <c r="C19" s="317">
        <f>VLOOKUP(B19,$I$24:$J$27,2,FALSE)</f>
        <v>2.2000000000000002</v>
      </c>
      <c r="D19" s="515" t="s">
        <v>869</v>
      </c>
      <c r="E19" s="299" t="s">
        <v>73</v>
      </c>
      <c r="F19" s="318">
        <f>F17+F18</f>
        <v>6.3166275000000001</v>
      </c>
      <c r="G19" s="398" t="s">
        <v>200</v>
      </c>
      <c r="I19" s="3" t="s">
        <v>46</v>
      </c>
      <c r="J19" s="4">
        <v>-3.4</v>
      </c>
      <c r="K19" s="3">
        <v>9.8000000000000007</v>
      </c>
      <c r="L19" s="4">
        <v>96</v>
      </c>
      <c r="M19" s="1"/>
      <c r="N19" s="1"/>
    </row>
    <row r="20" spans="1:14" ht="14.25" customHeight="1" thickBot="1">
      <c r="A20" s="273" t="s">
        <v>866</v>
      </c>
      <c r="B20" s="15">
        <v>10</v>
      </c>
      <c r="C20" s="274" t="s">
        <v>53</v>
      </c>
      <c r="D20" s="297"/>
      <c r="E20" s="397" t="s">
        <v>868</v>
      </c>
      <c r="F20" s="318">
        <f>(4.128*(B14-B20)*F14)/(B21*3600)</f>
        <v>17.916666666666668</v>
      </c>
      <c r="G20" s="395" t="s">
        <v>200</v>
      </c>
      <c r="I20" s="3" t="s">
        <v>48</v>
      </c>
      <c r="J20" s="4">
        <v>-3.4</v>
      </c>
      <c r="K20" s="3">
        <v>8.5</v>
      </c>
      <c r="L20" s="4">
        <v>35</v>
      </c>
      <c r="M20" s="1"/>
      <c r="N20" s="1"/>
    </row>
    <row r="21" spans="1:14" ht="14.25" customHeight="1" thickBot="1">
      <c r="A21" s="273" t="s">
        <v>867</v>
      </c>
      <c r="B21" s="219">
        <v>96</v>
      </c>
      <c r="C21" s="515" t="s">
        <v>870</v>
      </c>
      <c r="D21" s="297"/>
      <c r="E21" s="397" t="s">
        <v>874</v>
      </c>
      <c r="F21" s="445">
        <f>F19+F20</f>
        <v>24.233294166666667</v>
      </c>
      <c r="G21" s="395" t="s">
        <v>200</v>
      </c>
      <c r="I21" s="3" t="s">
        <v>49</v>
      </c>
      <c r="J21" s="4">
        <v>-3.9</v>
      </c>
      <c r="K21" s="3">
        <v>8.5</v>
      </c>
      <c r="L21" s="4">
        <v>5</v>
      </c>
      <c r="M21" s="1"/>
      <c r="N21" s="1"/>
    </row>
    <row r="22" spans="1:14" ht="15" customHeight="1">
      <c r="A22" s="527"/>
      <c r="B22" s="297"/>
      <c r="C22" s="297"/>
      <c r="D22" s="297"/>
      <c r="E22" s="297"/>
      <c r="F22" s="297"/>
      <c r="G22" s="395"/>
      <c r="I22" s="3" t="s">
        <v>808</v>
      </c>
      <c r="J22" s="4">
        <v>-0.2</v>
      </c>
      <c r="K22" s="3">
        <v>11</v>
      </c>
      <c r="L22" s="4">
        <v>0</v>
      </c>
      <c r="M22" s="1"/>
      <c r="N22" s="1"/>
    </row>
    <row r="23" spans="1:14" ht="15" customHeight="1" thickBot="1">
      <c r="A23" s="472"/>
      <c r="B23" s="528"/>
      <c r="C23" s="528"/>
      <c r="D23" s="528"/>
      <c r="E23" s="528"/>
      <c r="F23" s="528"/>
      <c r="G23" s="529"/>
      <c r="I23" s="2" t="s">
        <v>858</v>
      </c>
      <c r="M23" s="1"/>
      <c r="N23" s="1"/>
    </row>
    <row r="24" spans="1:14" ht="15.75" customHeight="1">
      <c r="A24" s="466" t="s">
        <v>849</v>
      </c>
      <c r="B24" s="283"/>
      <c r="C24" s="283"/>
      <c r="D24" s="283"/>
      <c r="E24" s="283"/>
      <c r="F24" s="282"/>
      <c r="G24" s="401"/>
      <c r="I24" s="3" t="s">
        <v>875</v>
      </c>
      <c r="J24" s="4">
        <v>0.5</v>
      </c>
      <c r="M24" s="1"/>
      <c r="N24" s="1"/>
    </row>
    <row r="25" spans="1:14" ht="15.75" customHeight="1">
      <c r="A25" s="467" t="s">
        <v>835</v>
      </c>
      <c r="B25" s="284"/>
      <c r="C25" s="284"/>
      <c r="D25" s="284"/>
      <c r="E25" s="284"/>
      <c r="F25" s="284"/>
      <c r="G25" s="285"/>
      <c r="I25" s="3" t="s">
        <v>876</v>
      </c>
      <c r="J25" s="4">
        <v>1.5</v>
      </c>
      <c r="M25" s="1"/>
      <c r="N25" s="1"/>
    </row>
    <row r="26" spans="1:14" ht="15.75" customHeight="1">
      <c r="A26" s="467" t="s">
        <v>850</v>
      </c>
      <c r="B26" s="284"/>
      <c r="C26" s="284"/>
      <c r="D26" s="284"/>
      <c r="E26" s="284"/>
      <c r="F26" s="284"/>
      <c r="G26" s="285"/>
      <c r="I26" s="3" t="s">
        <v>877</v>
      </c>
      <c r="J26" s="4">
        <v>2.2000000000000002</v>
      </c>
      <c r="M26" s="1"/>
      <c r="N26" s="1"/>
    </row>
    <row r="27" spans="1:14" ht="15.75" customHeight="1">
      <c r="A27" s="467"/>
      <c r="B27" s="286"/>
      <c r="C27" s="286"/>
      <c r="D27" s="286"/>
      <c r="E27" s="286"/>
      <c r="F27" s="286"/>
      <c r="G27" s="287"/>
      <c r="I27" s="3" t="s">
        <v>878</v>
      </c>
      <c r="J27" s="4">
        <v>4.5</v>
      </c>
      <c r="M27" s="1"/>
      <c r="N27" s="1"/>
    </row>
    <row r="28" spans="1:14" ht="15.75" customHeight="1" thickBot="1">
      <c r="A28" s="276" t="s">
        <v>18</v>
      </c>
      <c r="B28" s="277"/>
      <c r="C28" s="277"/>
      <c r="D28" s="277"/>
      <c r="E28" s="277"/>
      <c r="F28" s="277"/>
      <c r="G28" s="265"/>
      <c r="M28" s="1"/>
      <c r="N28" s="1"/>
    </row>
    <row r="29" spans="1:14" ht="15.75" customHeight="1">
      <c r="A29" s="278"/>
      <c r="B29" s="279"/>
      <c r="C29" s="279"/>
      <c r="D29" s="279"/>
      <c r="E29" s="402"/>
      <c r="F29" s="403"/>
      <c r="G29" s="264"/>
      <c r="M29" s="1"/>
      <c r="N29" s="1"/>
    </row>
    <row r="30" spans="1:14" ht="15.75" customHeight="1">
      <c r="A30" s="278"/>
      <c r="B30" s="279"/>
      <c r="C30" s="279"/>
      <c r="D30" s="279"/>
      <c r="E30" s="404"/>
      <c r="F30" s="405"/>
      <c r="G30" s="265"/>
      <c r="M30" s="1"/>
      <c r="N30" s="1"/>
    </row>
    <row r="31" spans="1:14" ht="15.75" customHeight="1" thickBot="1">
      <c r="A31" s="278"/>
      <c r="B31" s="279"/>
      <c r="C31" s="279"/>
      <c r="D31" s="279"/>
      <c r="E31" s="406"/>
      <c r="F31" s="407"/>
      <c r="G31" s="264"/>
      <c r="M31" s="1"/>
      <c r="N31" s="1"/>
    </row>
    <row r="32" spans="1:14" ht="15.75" customHeight="1">
      <c r="A32" s="278"/>
      <c r="B32" s="279"/>
      <c r="C32" s="279"/>
      <c r="D32" s="279"/>
      <c r="E32" s="288" t="s">
        <v>269</v>
      </c>
      <c r="F32" s="279"/>
      <c r="G32" s="265"/>
      <c r="M32" s="1"/>
      <c r="N32" s="1"/>
    </row>
    <row r="33" spans="1:18" ht="15.75" customHeight="1" thickBot="1">
      <c r="A33" s="280"/>
      <c r="B33" s="281"/>
      <c r="C33" s="281"/>
      <c r="D33" s="281"/>
      <c r="E33" s="281"/>
      <c r="F33" s="281"/>
      <c r="G33" s="473"/>
      <c r="M33" s="1"/>
      <c r="N33" s="1"/>
    </row>
    <row r="34" spans="1:18" ht="15.75" hidden="1" customHeight="1">
      <c r="M34" s="1"/>
      <c r="N34" s="1"/>
    </row>
    <row r="35" spans="1:18" ht="14.25" hidden="1" customHeight="1">
      <c r="M35" s="1"/>
      <c r="N35" s="1"/>
    </row>
    <row r="36" spans="1:18" ht="15" hidden="1" customHeight="1">
      <c r="M36" s="1"/>
      <c r="N36" s="1"/>
    </row>
    <row r="37" spans="1:18" ht="15.75" hidden="1" customHeight="1">
      <c r="I37"/>
      <c r="M37" s="1"/>
      <c r="N37" s="1"/>
    </row>
    <row r="38" spans="1:18" ht="17.25" hidden="1" customHeight="1">
      <c r="I38"/>
      <c r="M38" s="1"/>
      <c r="N38" s="1"/>
    </row>
    <row r="39" spans="1:18" ht="14.25" hidden="1" customHeight="1">
      <c r="M39" s="1"/>
      <c r="N39" s="1"/>
    </row>
    <row r="40" spans="1:18" ht="14.25" hidden="1" customHeight="1">
      <c r="M40" s="1"/>
      <c r="N40" s="1"/>
    </row>
    <row r="41" spans="1:18" ht="14.25" hidden="1" customHeight="1">
      <c r="A41" s="215" t="s">
        <v>851</v>
      </c>
      <c r="M41" s="1"/>
      <c r="N41" s="1"/>
    </row>
    <row r="42" spans="1:18" ht="14.25" hidden="1" customHeight="1">
      <c r="A42" s="216"/>
      <c r="M42" s="1"/>
      <c r="N42" s="1"/>
    </row>
    <row r="43" spans="1:18" ht="14.25" hidden="1" customHeight="1">
      <c r="A43" s="217" t="s">
        <v>852</v>
      </c>
      <c r="M43" s="1"/>
      <c r="N43" s="1"/>
    </row>
    <row r="44" spans="1:18" s="17" customFormat="1" ht="14.25" hidden="1" customHeight="1">
      <c r="A44" s="216"/>
      <c r="B44" s="131"/>
      <c r="C44" s="131"/>
      <c r="D44" s="131"/>
      <c r="E44" s="131"/>
      <c r="F44" s="131"/>
      <c r="G44" s="131"/>
      <c r="H44" s="1"/>
      <c r="I44" s="1"/>
      <c r="J44" s="1"/>
      <c r="M44" s="1"/>
      <c r="N44" s="1"/>
      <c r="O44" s="1"/>
      <c r="P44" s="1"/>
      <c r="Q44" s="1"/>
      <c r="R44" s="1"/>
    </row>
    <row r="45" spans="1:18" ht="12.75" hidden="1" customHeight="1">
      <c r="A45" s="217" t="s">
        <v>853</v>
      </c>
      <c r="B45" s="11"/>
      <c r="C45" s="11"/>
      <c r="D45" s="11"/>
      <c r="E45" s="11"/>
      <c r="F45" s="27"/>
      <c r="G45" s="28"/>
      <c r="H45" s="17"/>
      <c r="M45" s="1"/>
      <c r="N45" s="1"/>
    </row>
    <row r="46" spans="1:18" ht="15" hidden="1" customHeight="1">
      <c r="A46"/>
      <c r="B46" s="12"/>
      <c r="C46" s="12"/>
      <c r="D46" s="12"/>
      <c r="E46" s="12"/>
      <c r="F46" s="12"/>
      <c r="G46" s="132"/>
      <c r="M46" s="1"/>
      <c r="N46" s="1"/>
    </row>
    <row r="47" spans="1:18" ht="57" hidden="1">
      <c r="A47" s="215" t="s">
        <v>854</v>
      </c>
      <c r="B47" s="12"/>
      <c r="C47" s="12"/>
      <c r="D47" s="12"/>
      <c r="E47" s="12"/>
      <c r="F47" s="12"/>
      <c r="G47" s="12"/>
    </row>
    <row r="48" spans="1:18" ht="14.25" hidden="1" customHeight="1">
      <c r="A48" s="216"/>
      <c r="B48" s="130"/>
      <c r="C48" s="130"/>
      <c r="D48" s="130"/>
      <c r="E48" s="130"/>
      <c r="F48" s="130"/>
      <c r="G48" s="130"/>
      <c r="M48" s="1"/>
      <c r="N48" s="1"/>
    </row>
    <row r="49" spans="1:19" ht="15.75" hidden="1" customHeight="1">
      <c r="A49" s="217" t="s">
        <v>855</v>
      </c>
      <c r="B49" s="130"/>
      <c r="C49" s="130"/>
      <c r="D49" s="130"/>
      <c r="E49" s="130"/>
      <c r="F49" s="130"/>
      <c r="G49" s="130"/>
      <c r="M49" s="1"/>
      <c r="N49" s="1"/>
      <c r="S49" s="20"/>
    </row>
    <row r="50" spans="1:19" ht="14.25" hidden="1" customHeight="1">
      <c r="A50" s="216"/>
      <c r="B50" s="130"/>
      <c r="C50" s="130"/>
      <c r="D50" s="130"/>
      <c r="E50" s="130"/>
      <c r="F50" s="130"/>
      <c r="G50" s="130"/>
      <c r="M50" s="1"/>
      <c r="N50" s="1"/>
      <c r="S50" s="21"/>
    </row>
    <row r="51" spans="1:19" ht="14.25" hidden="1" customHeight="1">
      <c r="A51" s="217" t="s">
        <v>856</v>
      </c>
      <c r="B51" s="130"/>
      <c r="C51" s="130"/>
      <c r="D51" s="130"/>
      <c r="E51" s="130"/>
      <c r="F51" s="130"/>
      <c r="G51" s="130"/>
      <c r="L51" s="1"/>
      <c r="M51" s="1"/>
      <c r="S51" s="21"/>
    </row>
    <row r="52" spans="1:19" ht="14.25" hidden="1" customHeight="1">
      <c r="A52" s="130"/>
      <c r="B52" s="130"/>
      <c r="C52" s="130"/>
      <c r="D52" s="130"/>
      <c r="E52" s="130"/>
      <c r="F52" s="130"/>
      <c r="G52" s="130"/>
      <c r="L52" s="1"/>
      <c r="M52" s="1"/>
      <c r="S52" s="21"/>
    </row>
    <row r="53" spans="1:19" ht="14.25" customHeight="1">
      <c r="A53" s="130"/>
      <c r="B53" s="130"/>
      <c r="C53" s="130"/>
      <c r="D53" s="130"/>
      <c r="E53" s="130"/>
      <c r="F53" s="130"/>
      <c r="G53" s="130"/>
      <c r="L53" s="1"/>
      <c r="M53" s="1"/>
      <c r="S53" s="21"/>
    </row>
    <row r="54" spans="1:19" ht="14.25" customHeight="1">
      <c r="A54" s="130"/>
      <c r="B54" s="130"/>
      <c r="C54" s="130"/>
      <c r="D54" s="130"/>
      <c r="E54" s="130"/>
      <c r="F54" s="130"/>
      <c r="G54" s="130"/>
      <c r="L54" s="1"/>
      <c r="M54" s="1"/>
      <c r="S54" s="21"/>
    </row>
    <row r="55" spans="1:19" ht="23.25">
      <c r="A55" s="130"/>
      <c r="B55" s="130"/>
      <c r="C55" s="130"/>
      <c r="D55" s="130"/>
      <c r="E55" s="130"/>
      <c r="F55" s="130"/>
      <c r="G55" s="130"/>
      <c r="L55" s="1"/>
      <c r="M55" s="1"/>
      <c r="S55" s="21"/>
    </row>
    <row r="56" spans="1:19" ht="14.25" customHeight="1">
      <c r="A56" s="130"/>
      <c r="B56" s="130"/>
      <c r="C56" s="130"/>
      <c r="D56" s="130"/>
      <c r="E56" s="130"/>
      <c r="F56" s="130"/>
      <c r="G56" s="130"/>
      <c r="L56" s="1"/>
      <c r="M56" s="1"/>
      <c r="S56" s="21"/>
    </row>
    <row r="57" spans="1:19" ht="14.25" customHeight="1">
      <c r="A57" s="130"/>
      <c r="B57" s="130"/>
      <c r="C57" s="130"/>
      <c r="D57" s="130"/>
      <c r="E57" s="130"/>
      <c r="F57" s="130"/>
      <c r="G57" s="130"/>
      <c r="L57" s="1"/>
      <c r="M57" s="1"/>
      <c r="S57" s="21"/>
    </row>
    <row r="58" spans="1:19" ht="14.25" customHeight="1">
      <c r="A58" s="130"/>
      <c r="B58" s="130"/>
      <c r="C58" s="130"/>
      <c r="D58" s="130"/>
      <c r="E58" s="130"/>
      <c r="F58" s="130"/>
      <c r="G58" s="130"/>
      <c r="L58" s="1"/>
      <c r="M58" s="1"/>
      <c r="S58" s="21"/>
    </row>
    <row r="59" spans="1:19" ht="14.25" customHeight="1">
      <c r="A59" s="130"/>
      <c r="B59" s="130"/>
      <c r="C59" s="130"/>
      <c r="D59" s="130"/>
      <c r="E59" s="130"/>
      <c r="F59" s="130"/>
      <c r="G59" s="130"/>
      <c r="L59" s="1"/>
      <c r="M59" s="1"/>
      <c r="S59" s="21"/>
    </row>
    <row r="60" spans="1:19" ht="14.25" customHeight="1">
      <c r="A60" s="130"/>
      <c r="B60" s="130"/>
      <c r="C60" s="130"/>
      <c r="D60" s="130"/>
      <c r="E60" s="130"/>
      <c r="F60" s="130"/>
      <c r="G60" s="130"/>
      <c r="L60" s="1"/>
      <c r="M60" s="1"/>
      <c r="S60" s="21"/>
    </row>
    <row r="61" spans="1:19" ht="14.25" customHeight="1">
      <c r="A61" s="130"/>
      <c r="B61" s="130"/>
      <c r="C61" s="130"/>
      <c r="D61" s="130"/>
      <c r="E61" s="130"/>
      <c r="F61" s="130"/>
      <c r="G61" s="130"/>
      <c r="L61" s="1"/>
      <c r="M61" s="1"/>
      <c r="S61" s="21"/>
    </row>
    <row r="62" spans="1:19" ht="14.25" customHeight="1">
      <c r="A62" s="130"/>
      <c r="B62" s="130"/>
      <c r="C62" s="130"/>
      <c r="D62" s="130"/>
      <c r="E62" s="130"/>
      <c r="F62" s="130"/>
      <c r="G62" s="130"/>
      <c r="L62" s="1"/>
      <c r="M62" s="1"/>
      <c r="S62" s="21"/>
    </row>
    <row r="63" spans="1:19" ht="14.25" customHeight="1">
      <c r="A63" s="130"/>
      <c r="B63" s="130"/>
      <c r="C63" s="130"/>
      <c r="D63" s="130"/>
      <c r="E63" s="130"/>
      <c r="F63" s="130"/>
      <c r="G63" s="130"/>
      <c r="L63" s="1"/>
      <c r="M63" s="1"/>
      <c r="S63" s="21"/>
    </row>
    <row r="64" spans="1:19" ht="14.25" customHeight="1">
      <c r="A64" s="130"/>
      <c r="B64" s="130"/>
      <c r="C64" s="130"/>
      <c r="D64" s="130"/>
      <c r="E64" s="130"/>
      <c r="F64" s="130"/>
      <c r="G64" s="130"/>
      <c r="L64" s="1"/>
      <c r="M64" s="1"/>
      <c r="S64" s="21"/>
    </row>
    <row r="65" spans="1:19" ht="14.25" customHeight="1">
      <c r="A65" s="130"/>
      <c r="B65" s="130"/>
      <c r="C65" s="130"/>
      <c r="D65" s="130"/>
      <c r="E65" s="130"/>
      <c r="F65" s="130"/>
      <c r="G65" s="130"/>
      <c r="L65" s="1"/>
      <c r="M65" s="1"/>
      <c r="S65" s="21"/>
    </row>
    <row r="66" spans="1:19" s="7" customFormat="1" ht="14.25" customHeight="1">
      <c r="A66" s="130"/>
      <c r="B66" s="130"/>
      <c r="C66" s="130"/>
      <c r="D66" s="130"/>
      <c r="E66" s="130"/>
      <c r="F66" s="130"/>
      <c r="G66" s="130"/>
      <c r="H66" s="1"/>
      <c r="I66" s="1"/>
      <c r="J66" s="1"/>
      <c r="K66" s="1"/>
      <c r="L66" s="1"/>
      <c r="M66" s="1"/>
      <c r="O66" s="1"/>
      <c r="P66" s="1"/>
      <c r="Q66" s="1"/>
      <c r="R66" s="1"/>
      <c r="S66" s="1"/>
    </row>
    <row r="67" spans="1:19" s="7" customFormat="1" ht="14.25" customHeight="1">
      <c r="A67" s="130"/>
      <c r="B67" s="130"/>
      <c r="C67" s="130"/>
      <c r="D67" s="130"/>
      <c r="E67" s="130"/>
      <c r="F67" s="130"/>
      <c r="G67" s="130"/>
      <c r="H67" s="1"/>
      <c r="I67" s="1"/>
      <c r="J67" s="1"/>
      <c r="K67" s="1"/>
      <c r="L67" s="1"/>
      <c r="M67" s="1"/>
      <c r="O67" s="1"/>
      <c r="P67" s="1"/>
      <c r="Q67" s="1"/>
      <c r="R67" s="1"/>
      <c r="S67" s="1"/>
    </row>
    <row r="68" spans="1:19" s="7" customFormat="1" ht="14.25" customHeight="1">
      <c r="A68" s="130"/>
      <c r="B68" s="130"/>
      <c r="C68" s="130"/>
      <c r="D68" s="130"/>
      <c r="E68" s="130"/>
      <c r="F68" s="130"/>
      <c r="G68" s="130"/>
      <c r="H68" s="1"/>
      <c r="I68" s="1"/>
      <c r="J68" s="1"/>
      <c r="K68" s="1"/>
      <c r="L68" s="1"/>
      <c r="M68" s="1"/>
      <c r="O68" s="1"/>
      <c r="P68" s="1"/>
      <c r="Q68" s="1"/>
      <c r="R68" s="1"/>
      <c r="S68" s="1"/>
    </row>
    <row r="69" spans="1:19" s="7" customFormat="1" ht="14.25" customHeight="1">
      <c r="A69" s="130"/>
      <c r="B69" s="130"/>
      <c r="C69" s="130"/>
      <c r="D69" s="130"/>
      <c r="E69" s="130"/>
      <c r="F69" s="130"/>
      <c r="G69" s="130"/>
      <c r="H69" s="1"/>
      <c r="I69" s="1"/>
      <c r="J69" s="1"/>
      <c r="K69" s="1"/>
      <c r="L69" s="1"/>
      <c r="M69" s="1"/>
      <c r="O69" s="1"/>
      <c r="P69" s="1"/>
      <c r="Q69" s="1"/>
      <c r="R69" s="1"/>
      <c r="S69" s="1"/>
    </row>
    <row r="70" spans="1:19" s="7" customFormat="1" ht="14.25" customHeight="1">
      <c r="A70" s="130"/>
      <c r="B70" s="130"/>
      <c r="C70" s="130"/>
      <c r="D70" s="130"/>
      <c r="E70" s="130"/>
      <c r="F70" s="130"/>
      <c r="G70" s="130"/>
      <c r="H70" s="1"/>
      <c r="I70" s="1"/>
      <c r="J70" s="1"/>
      <c r="K70" s="1"/>
      <c r="L70" s="1"/>
      <c r="M70" s="1"/>
      <c r="O70" s="1"/>
      <c r="P70" s="1"/>
      <c r="Q70" s="1"/>
      <c r="R70" s="1"/>
      <c r="S70" s="1"/>
    </row>
    <row r="71" spans="1:19" s="7" customFormat="1" ht="14.25" customHeight="1">
      <c r="A71" s="130"/>
      <c r="B71" s="130"/>
      <c r="C71" s="130"/>
      <c r="D71" s="130"/>
      <c r="E71" s="130"/>
      <c r="F71" s="130"/>
      <c r="G71" s="130"/>
      <c r="H71" s="1"/>
      <c r="I71" s="1"/>
      <c r="J71" s="1"/>
      <c r="K71" s="1"/>
      <c r="L71" s="1"/>
      <c r="M71" s="1"/>
      <c r="O71" s="1"/>
      <c r="P71" s="1"/>
      <c r="Q71" s="1"/>
      <c r="R71" s="1"/>
      <c r="S71" s="1"/>
    </row>
    <row r="72" spans="1:19" s="7" customFormat="1" ht="14.25" customHeight="1">
      <c r="A72" s="130"/>
      <c r="B72" s="130"/>
      <c r="C72" s="130"/>
      <c r="D72" s="130"/>
      <c r="E72" s="130"/>
      <c r="F72" s="130"/>
      <c r="G72" s="130"/>
      <c r="H72" s="1"/>
      <c r="I72" s="1"/>
      <c r="J72" s="1"/>
      <c r="K72" s="1"/>
      <c r="L72" s="1"/>
      <c r="M72" s="1"/>
      <c r="O72" s="1"/>
      <c r="P72" s="1"/>
      <c r="Q72" s="1"/>
      <c r="R72" s="1"/>
      <c r="S72" s="1"/>
    </row>
    <row r="73" spans="1:19" s="7" customFormat="1" ht="14.25" customHeight="1">
      <c r="A73" s="130"/>
      <c r="B73" s="130"/>
      <c r="C73" s="130"/>
      <c r="D73" s="130"/>
      <c r="E73" s="130"/>
      <c r="F73" s="130"/>
      <c r="G73" s="130"/>
      <c r="H73" s="1"/>
      <c r="I73" s="1"/>
      <c r="J73" s="1"/>
      <c r="K73" s="1"/>
      <c r="L73" s="1"/>
      <c r="M73" s="1"/>
      <c r="O73" s="1"/>
      <c r="P73" s="1"/>
      <c r="Q73" s="1"/>
      <c r="R73" s="1"/>
      <c r="S73" s="1"/>
    </row>
    <row r="74" spans="1:19" s="7" customFormat="1" ht="14.25" customHeight="1">
      <c r="A74" s="130"/>
      <c r="B74" s="130"/>
      <c r="C74" s="130"/>
      <c r="D74" s="130"/>
      <c r="E74" s="130"/>
      <c r="F74" s="130"/>
      <c r="G74" s="130"/>
      <c r="H74" s="1"/>
      <c r="I74" s="1"/>
      <c r="J74" s="1"/>
      <c r="K74" s="1"/>
      <c r="L74" s="1"/>
      <c r="M74" s="1"/>
      <c r="O74" s="1"/>
      <c r="P74" s="1"/>
      <c r="Q74" s="1"/>
      <c r="R74" s="1"/>
      <c r="S74" s="1"/>
    </row>
    <row r="75" spans="1:19" s="7" customFormat="1" ht="12.75" customHeight="1">
      <c r="A75" s="130"/>
      <c r="B75" s="130"/>
      <c r="C75" s="130"/>
      <c r="D75" s="130"/>
      <c r="E75" s="130"/>
      <c r="F75" s="130"/>
      <c r="G75" s="130"/>
      <c r="H75" s="1"/>
      <c r="I75" s="1"/>
      <c r="J75" s="1"/>
      <c r="K75" s="1"/>
      <c r="L75" s="1"/>
      <c r="M75" s="1"/>
      <c r="O75" s="1"/>
      <c r="P75" s="1"/>
      <c r="Q75" s="1"/>
      <c r="R75" s="1"/>
      <c r="S75" s="1"/>
    </row>
    <row r="76" spans="1:19" s="7" customFormat="1" ht="14.25" customHeight="1">
      <c r="A76" s="130"/>
      <c r="B76" s="130"/>
      <c r="C76" s="130"/>
      <c r="D76" s="130"/>
      <c r="E76" s="130"/>
      <c r="F76" s="130"/>
      <c r="G76" s="130"/>
      <c r="H76" s="1"/>
      <c r="I76" s="1"/>
      <c r="J76" s="1"/>
      <c r="K76" s="1"/>
      <c r="L76" s="1"/>
      <c r="M76" s="1"/>
      <c r="O76" s="1"/>
      <c r="P76" s="1"/>
      <c r="Q76" s="1"/>
      <c r="R76" s="1"/>
      <c r="S76" s="1"/>
    </row>
    <row r="77" spans="1:19" s="7" customFormat="1" ht="14.25" customHeight="1">
      <c r="A77" s="130"/>
      <c r="B77" s="130"/>
      <c r="C77" s="130"/>
      <c r="D77" s="130"/>
      <c r="E77" s="130"/>
      <c r="F77" s="130"/>
      <c r="G77" s="130"/>
      <c r="H77" s="1"/>
      <c r="I77" s="1"/>
      <c r="J77" s="1"/>
      <c r="K77" s="1"/>
      <c r="L77" s="1"/>
      <c r="M77" s="1"/>
      <c r="O77" s="1"/>
      <c r="P77" s="1"/>
      <c r="Q77" s="1"/>
      <c r="R77" s="1"/>
      <c r="S77" s="1"/>
    </row>
    <row r="78" spans="1:19" s="7" customFormat="1" ht="14.25" customHeight="1">
      <c r="A78" s="130"/>
      <c r="B78" s="130"/>
      <c r="C78" s="130"/>
      <c r="D78" s="130"/>
      <c r="E78" s="130"/>
      <c r="F78" s="130"/>
      <c r="G78" s="130"/>
      <c r="H78" s="1"/>
      <c r="I78" s="1"/>
      <c r="J78" s="1"/>
      <c r="K78" s="1"/>
      <c r="L78" s="1"/>
      <c r="M78" s="1"/>
      <c r="O78" s="1"/>
      <c r="P78" s="1"/>
      <c r="Q78" s="1"/>
      <c r="R78" s="1"/>
      <c r="S78" s="1"/>
    </row>
    <row r="79" spans="1:19" s="7" customFormat="1" ht="14.25" customHeight="1">
      <c r="A79" s="130"/>
      <c r="B79" s="130"/>
      <c r="C79" s="130"/>
      <c r="D79" s="130"/>
      <c r="E79" s="130"/>
      <c r="F79" s="130"/>
      <c r="G79" s="130"/>
      <c r="H79" s="1"/>
      <c r="I79" s="1"/>
      <c r="J79" s="1"/>
      <c r="K79" s="1"/>
      <c r="L79" s="1"/>
      <c r="M79" s="1"/>
      <c r="O79" s="1"/>
      <c r="P79" s="1"/>
      <c r="Q79" s="1"/>
      <c r="R79" s="1"/>
      <c r="S79" s="1"/>
    </row>
    <row r="80" spans="1:19" s="7" customFormat="1" ht="14.25" customHeight="1">
      <c r="A80" s="130"/>
      <c r="B80" s="130"/>
      <c r="C80" s="130"/>
      <c r="D80" s="130"/>
      <c r="E80" s="130"/>
      <c r="F80" s="130"/>
      <c r="G80" s="130"/>
      <c r="H80" s="1"/>
      <c r="I80" s="1"/>
      <c r="J80" s="1"/>
      <c r="K80" s="1"/>
      <c r="L80" s="1"/>
      <c r="M80" s="1"/>
      <c r="O80" s="1"/>
      <c r="P80" s="1"/>
      <c r="Q80" s="1"/>
      <c r="R80" s="1"/>
      <c r="S80" s="1"/>
    </row>
    <row r="81" spans="1:19" s="7" customFormat="1" ht="14.25" customHeight="1">
      <c r="A81" s="130"/>
      <c r="B81" s="130"/>
      <c r="C81" s="130"/>
      <c r="D81" s="130"/>
      <c r="E81" s="130"/>
      <c r="F81" s="130"/>
      <c r="G81" s="130"/>
      <c r="H81" s="1"/>
      <c r="I81" s="1"/>
      <c r="J81" s="1"/>
      <c r="K81" s="1"/>
      <c r="L81" s="1"/>
      <c r="M81" s="1"/>
      <c r="O81" s="1"/>
      <c r="P81" s="1"/>
      <c r="Q81" s="1"/>
      <c r="R81" s="1"/>
      <c r="S81" s="1"/>
    </row>
    <row r="82" spans="1:19" s="7" customFormat="1" ht="14.25" customHeight="1">
      <c r="A82" s="130"/>
      <c r="B82" s="130"/>
      <c r="C82" s="130"/>
      <c r="D82" s="130"/>
      <c r="E82" s="130"/>
      <c r="F82" s="130"/>
      <c r="G82" s="130"/>
      <c r="H82" s="1"/>
      <c r="I82" s="1"/>
      <c r="J82" s="1"/>
      <c r="K82" s="1"/>
      <c r="L82" s="1"/>
      <c r="M82" s="1"/>
      <c r="O82" s="1"/>
      <c r="P82" s="1"/>
      <c r="Q82" s="1"/>
      <c r="R82" s="1"/>
      <c r="S82" s="1"/>
    </row>
    <row r="83" spans="1:19" s="7" customFormat="1" ht="14.25" customHeight="1">
      <c r="A83" s="130"/>
      <c r="B83" s="130"/>
      <c r="C83" s="130"/>
      <c r="D83" s="130"/>
      <c r="E83" s="130"/>
      <c r="F83" s="130"/>
      <c r="G83" s="130"/>
      <c r="H83" s="1"/>
      <c r="I83" s="1"/>
      <c r="J83" s="1"/>
      <c r="K83" s="1"/>
      <c r="L83" s="1"/>
      <c r="M83" s="1"/>
      <c r="O83" s="1"/>
      <c r="P83" s="1"/>
      <c r="Q83" s="1"/>
      <c r="R83" s="1"/>
      <c r="S83" s="1"/>
    </row>
    <row r="84" spans="1:19" s="7" customFormat="1" ht="14.25" customHeight="1">
      <c r="A84" s="130"/>
      <c r="B84" s="130"/>
      <c r="C84" s="130"/>
      <c r="D84" s="130"/>
      <c r="E84" s="130"/>
      <c r="F84" s="130"/>
      <c r="G84" s="130"/>
      <c r="H84" s="1"/>
      <c r="I84" s="1"/>
      <c r="J84" s="1"/>
      <c r="K84" s="1"/>
      <c r="L84" s="1"/>
      <c r="M84" s="1"/>
      <c r="O84" s="1"/>
      <c r="P84" s="1"/>
      <c r="Q84" s="1"/>
      <c r="R84" s="1"/>
      <c r="S84" s="1"/>
    </row>
    <row r="85" spans="1:19" s="7" customFormat="1" ht="14.25" customHeight="1">
      <c r="A85" s="130"/>
      <c r="B85" s="130"/>
      <c r="C85" s="130"/>
      <c r="D85" s="130"/>
      <c r="E85" s="130"/>
      <c r="F85" s="130"/>
      <c r="G85" s="130"/>
      <c r="H85" s="1"/>
      <c r="I85" s="1"/>
      <c r="J85" s="1"/>
      <c r="K85" s="1"/>
      <c r="L85" s="1"/>
      <c r="M85" s="1"/>
      <c r="O85" s="1"/>
      <c r="P85" s="1"/>
      <c r="Q85" s="1"/>
      <c r="R85" s="1"/>
      <c r="S85" s="1"/>
    </row>
    <row r="86" spans="1:19" s="7" customFormat="1" ht="14.25" customHeight="1">
      <c r="A86" s="130"/>
      <c r="B86" s="130"/>
      <c r="C86" s="130"/>
      <c r="D86" s="130"/>
      <c r="E86" s="130"/>
      <c r="F86" s="130"/>
      <c r="G86" s="130"/>
      <c r="H86" s="1"/>
      <c r="I86" s="1"/>
      <c r="J86" s="1"/>
      <c r="K86" s="1"/>
      <c r="L86" s="1"/>
      <c r="M86" s="1"/>
      <c r="O86" s="1"/>
      <c r="P86" s="1"/>
      <c r="Q86" s="1"/>
      <c r="R86" s="1"/>
      <c r="S86" s="1"/>
    </row>
    <row r="87" spans="1:19" s="7" customFormat="1" ht="14.25" customHeight="1">
      <c r="A87" s="130"/>
      <c r="B87" s="130"/>
      <c r="C87" s="130"/>
      <c r="D87" s="130"/>
      <c r="E87" s="130"/>
      <c r="F87" s="130"/>
      <c r="G87" s="130"/>
      <c r="H87" s="1"/>
      <c r="I87" s="1"/>
      <c r="J87" s="1"/>
      <c r="K87" s="1"/>
      <c r="L87" s="1"/>
      <c r="M87" s="1"/>
      <c r="O87" s="1"/>
      <c r="P87" s="1"/>
      <c r="Q87" s="1"/>
      <c r="R87" s="1"/>
      <c r="S87" s="1"/>
    </row>
    <row r="88" spans="1:19" s="7" customFormat="1" ht="14.25" customHeight="1">
      <c r="A88" s="130"/>
      <c r="B88" s="130"/>
      <c r="C88" s="130"/>
      <c r="D88" s="130"/>
      <c r="E88" s="130"/>
      <c r="F88" s="130"/>
      <c r="G88" s="130"/>
      <c r="H88" s="1"/>
      <c r="I88" s="1"/>
      <c r="J88" s="1"/>
      <c r="K88" s="1"/>
      <c r="L88" s="1"/>
      <c r="M88" s="1"/>
      <c r="O88" s="1"/>
      <c r="P88" s="1"/>
      <c r="Q88" s="1"/>
      <c r="R88" s="1"/>
      <c r="S88" s="1"/>
    </row>
    <row r="89" spans="1:19" s="7" customFormat="1" ht="14.25" customHeight="1">
      <c r="A89" s="130"/>
      <c r="B89" s="130"/>
      <c r="C89" s="130"/>
      <c r="D89" s="130"/>
      <c r="E89" s="130"/>
      <c r="F89" s="130"/>
      <c r="G89" s="130"/>
      <c r="H89" s="1"/>
      <c r="I89" s="1"/>
      <c r="J89" s="1"/>
      <c r="K89" s="1"/>
      <c r="L89" s="1"/>
      <c r="O89" s="1"/>
      <c r="P89" s="1"/>
      <c r="Q89" s="1"/>
      <c r="R89" s="1"/>
      <c r="S89" s="1"/>
    </row>
    <row r="90" spans="1:19" s="7" customFormat="1" ht="14.25" customHeight="1">
      <c r="A90" s="130"/>
      <c r="B90" s="130"/>
      <c r="C90" s="130"/>
      <c r="D90" s="130"/>
      <c r="E90" s="130"/>
      <c r="F90" s="130"/>
      <c r="G90" s="130"/>
      <c r="H90" s="1"/>
      <c r="I90" s="1"/>
      <c r="J90" s="1"/>
      <c r="K90" s="1"/>
      <c r="L90" s="1"/>
      <c r="O90" s="1"/>
      <c r="P90" s="1"/>
      <c r="Q90" s="1"/>
      <c r="R90" s="1"/>
      <c r="S90" s="1"/>
    </row>
    <row r="91" spans="1:19" s="7" customFormat="1" ht="14.25" customHeight="1">
      <c r="A91" s="130"/>
      <c r="B91" s="130"/>
      <c r="C91" s="130"/>
      <c r="D91" s="130"/>
      <c r="E91" s="130"/>
      <c r="F91" s="130"/>
      <c r="G91" s="130"/>
      <c r="H91" s="1"/>
      <c r="I91" s="1"/>
      <c r="J91" s="1"/>
      <c r="K91" s="1"/>
      <c r="L91" s="1"/>
      <c r="O91" s="1"/>
      <c r="P91" s="1"/>
      <c r="Q91" s="1"/>
      <c r="R91" s="1"/>
      <c r="S91" s="1"/>
    </row>
    <row r="92" spans="1:19" s="7" customFormat="1" ht="14.25" customHeight="1">
      <c r="A92" s="130"/>
      <c r="B92" s="130"/>
      <c r="C92" s="130"/>
      <c r="D92" s="130"/>
      <c r="E92" s="130"/>
      <c r="F92" s="130"/>
      <c r="G92" s="130"/>
      <c r="H92" s="1"/>
      <c r="I92" s="1"/>
      <c r="J92" s="1"/>
      <c r="K92" s="1"/>
      <c r="L92" s="1"/>
      <c r="O92" s="1"/>
      <c r="P92" s="1"/>
      <c r="Q92" s="1"/>
      <c r="R92" s="1"/>
      <c r="S92" s="1"/>
    </row>
    <row r="93" spans="1:19" s="7" customFormat="1" ht="14.25" customHeight="1">
      <c r="A93" s="130"/>
      <c r="B93" s="130"/>
      <c r="C93" s="130"/>
      <c r="D93" s="130"/>
      <c r="E93" s="130"/>
      <c r="F93" s="130"/>
      <c r="G93" s="130"/>
      <c r="H93" s="1"/>
      <c r="I93" s="1"/>
      <c r="J93" s="1"/>
      <c r="K93" s="1"/>
      <c r="L93" s="1"/>
      <c r="O93" s="1"/>
      <c r="P93" s="1"/>
      <c r="Q93" s="1"/>
      <c r="R93" s="1"/>
      <c r="S93" s="1"/>
    </row>
    <row r="94" spans="1:19" s="7" customFormat="1" ht="14.25" customHeight="1">
      <c r="A94" s="130"/>
      <c r="B94" s="130"/>
      <c r="C94" s="130"/>
      <c r="D94" s="130"/>
      <c r="E94" s="130"/>
      <c r="F94" s="130"/>
      <c r="G94" s="130"/>
      <c r="H94" s="1"/>
      <c r="I94" s="1"/>
      <c r="J94" s="1"/>
      <c r="K94" s="1"/>
      <c r="O94" s="1"/>
      <c r="P94" s="1"/>
      <c r="Q94" s="1"/>
      <c r="R94" s="1"/>
      <c r="S94" s="1"/>
    </row>
    <row r="95" spans="1:19" s="7" customFormat="1" ht="14.25" customHeight="1">
      <c r="A95" s="130"/>
      <c r="B95" s="130"/>
      <c r="C95" s="130"/>
      <c r="D95" s="130"/>
      <c r="E95" s="130"/>
      <c r="F95" s="130"/>
      <c r="G95" s="130"/>
      <c r="H95" s="1"/>
      <c r="I95" s="1"/>
      <c r="J95" s="1"/>
      <c r="K95" s="1"/>
      <c r="O95" s="1"/>
      <c r="P95" s="1"/>
      <c r="Q95" s="1"/>
      <c r="R95" s="1"/>
      <c r="S95" s="1"/>
    </row>
    <row r="96" spans="1:19" s="7" customFormat="1" ht="14.25" customHeight="1">
      <c r="A96" s="130"/>
      <c r="B96" s="130"/>
      <c r="C96" s="130"/>
      <c r="D96" s="130"/>
      <c r="E96" s="130"/>
      <c r="F96" s="130"/>
      <c r="G96" s="130"/>
      <c r="H96" s="1"/>
      <c r="I96" s="1"/>
      <c r="J96" s="1"/>
      <c r="K96" s="1"/>
      <c r="O96" s="1"/>
      <c r="P96" s="1"/>
      <c r="Q96" s="1"/>
      <c r="R96" s="1"/>
      <c r="S96" s="1"/>
    </row>
    <row r="97" spans="1:19" s="7" customFormat="1" ht="14.25" customHeight="1">
      <c r="A97" s="130"/>
      <c r="B97" s="130"/>
      <c r="C97" s="130"/>
      <c r="D97" s="130"/>
      <c r="E97" s="130"/>
      <c r="F97" s="130"/>
      <c r="G97" s="130"/>
      <c r="H97" s="1"/>
      <c r="I97" s="1"/>
      <c r="J97" s="1"/>
      <c r="K97" s="1"/>
      <c r="O97" s="1"/>
      <c r="P97" s="1"/>
      <c r="Q97" s="1"/>
      <c r="R97" s="1"/>
      <c r="S97" s="1"/>
    </row>
    <row r="98" spans="1:19" s="7" customFormat="1" ht="14.25" customHeight="1">
      <c r="A98" s="130"/>
      <c r="B98" s="130"/>
      <c r="C98" s="130"/>
      <c r="D98" s="130"/>
      <c r="E98" s="130"/>
      <c r="F98" s="130"/>
      <c r="G98" s="130"/>
      <c r="H98" s="1"/>
      <c r="I98" s="1"/>
      <c r="J98" s="1"/>
      <c r="K98" s="1"/>
      <c r="O98" s="1"/>
      <c r="P98" s="1"/>
      <c r="Q98" s="1"/>
      <c r="R98" s="1"/>
      <c r="S98" s="1"/>
    </row>
    <row r="99" spans="1:19" s="7" customFormat="1" ht="14.25" customHeight="1">
      <c r="A99" s="130"/>
      <c r="B99" s="130"/>
      <c r="C99" s="130"/>
      <c r="D99" s="130"/>
      <c r="E99" s="130"/>
      <c r="F99" s="130"/>
      <c r="G99" s="130"/>
      <c r="H99" s="1"/>
      <c r="I99" s="1"/>
      <c r="J99" s="1"/>
      <c r="K99" s="1"/>
      <c r="O99" s="1"/>
      <c r="P99" s="1"/>
      <c r="Q99" s="1"/>
      <c r="R99" s="1"/>
      <c r="S99" s="1"/>
    </row>
    <row r="100" spans="1:19" s="7" customFormat="1" ht="14.25" customHeight="1">
      <c r="A100" s="130"/>
      <c r="B100" s="130"/>
      <c r="C100" s="130"/>
      <c r="D100" s="130"/>
      <c r="E100" s="130"/>
      <c r="F100" s="130"/>
      <c r="G100" s="130"/>
      <c r="H100" s="1"/>
      <c r="I100" s="1"/>
      <c r="J100" s="1"/>
      <c r="K100" s="1"/>
      <c r="O100" s="1"/>
      <c r="P100" s="1"/>
      <c r="Q100" s="1"/>
      <c r="R100" s="1"/>
      <c r="S100" s="1"/>
    </row>
    <row r="101" spans="1:19" s="7" customFormat="1" ht="14.25" customHeight="1">
      <c r="A101" s="130"/>
      <c r="B101" s="130"/>
      <c r="C101" s="130"/>
      <c r="D101" s="130"/>
      <c r="E101" s="130"/>
      <c r="F101" s="130"/>
      <c r="G101" s="130"/>
      <c r="H101" s="1"/>
      <c r="I101" s="1"/>
      <c r="J101" s="1"/>
      <c r="K101" s="1"/>
      <c r="O101" s="1"/>
      <c r="P101" s="1"/>
      <c r="Q101" s="1"/>
      <c r="R101" s="1"/>
      <c r="S101" s="1"/>
    </row>
    <row r="102" spans="1:19" s="7" customFormat="1" ht="14.25" customHeight="1">
      <c r="A102" s="130"/>
      <c r="B102" s="130"/>
      <c r="C102" s="130"/>
      <c r="D102" s="130"/>
      <c r="E102" s="130"/>
      <c r="F102" s="130"/>
      <c r="G102" s="130"/>
      <c r="H102" s="1"/>
      <c r="I102" s="1"/>
      <c r="J102" s="1"/>
      <c r="K102" s="1"/>
      <c r="O102" s="1"/>
      <c r="P102" s="1"/>
      <c r="Q102" s="1"/>
      <c r="R102" s="1"/>
      <c r="S102" s="1"/>
    </row>
    <row r="103" spans="1:19" s="7" customFormat="1" ht="14.25" customHeight="1">
      <c r="A103" s="130"/>
      <c r="B103" s="130"/>
      <c r="C103" s="130"/>
      <c r="D103" s="130"/>
      <c r="E103" s="130"/>
      <c r="F103" s="130"/>
      <c r="G103" s="130"/>
      <c r="H103" s="1"/>
      <c r="I103" s="1"/>
      <c r="J103" s="1"/>
      <c r="K103" s="1"/>
      <c r="O103" s="1"/>
      <c r="P103" s="1"/>
      <c r="Q103" s="1"/>
      <c r="R103" s="1"/>
      <c r="S103" s="1"/>
    </row>
    <row r="104" spans="1:19" s="7" customFormat="1" ht="14.25" customHeight="1">
      <c r="A104" s="130"/>
      <c r="B104" s="130"/>
      <c r="C104" s="130"/>
      <c r="D104" s="130"/>
      <c r="E104" s="130"/>
      <c r="F104" s="130"/>
      <c r="G104" s="130"/>
      <c r="H104" s="1"/>
      <c r="I104" s="1"/>
      <c r="J104" s="1"/>
      <c r="K104" s="1"/>
      <c r="O104" s="1"/>
      <c r="P104" s="1"/>
      <c r="Q104" s="1"/>
      <c r="R104" s="1"/>
      <c r="S104" s="1"/>
    </row>
    <row r="105" spans="1:19" s="7" customFormat="1" ht="14.25" customHeight="1">
      <c r="A105" s="130"/>
      <c r="B105" s="130"/>
      <c r="C105" s="130"/>
      <c r="D105" s="130"/>
      <c r="E105" s="130"/>
      <c r="F105" s="130"/>
      <c r="G105" s="130"/>
      <c r="H105" s="1"/>
      <c r="I105" s="1"/>
      <c r="J105" s="1"/>
      <c r="K105" s="1"/>
      <c r="O105" s="1"/>
      <c r="P105" s="1"/>
      <c r="Q105" s="1"/>
      <c r="R105" s="1"/>
      <c r="S105" s="1"/>
    </row>
    <row r="106" spans="1:19" s="7" customFormat="1" ht="14.25" customHeight="1">
      <c r="A106" s="130"/>
      <c r="B106" s="130"/>
      <c r="C106" s="130"/>
      <c r="D106" s="130"/>
      <c r="E106" s="130"/>
      <c r="F106" s="130"/>
      <c r="G106" s="130"/>
      <c r="H106" s="1"/>
      <c r="I106" s="1"/>
      <c r="J106" s="1"/>
      <c r="K106" s="1"/>
      <c r="O106" s="1"/>
      <c r="P106" s="1"/>
      <c r="Q106" s="1"/>
      <c r="R106" s="1"/>
      <c r="S106" s="1"/>
    </row>
    <row r="107" spans="1:19" s="7" customFormat="1" ht="14.25" customHeight="1">
      <c r="A107" s="130"/>
      <c r="B107" s="130"/>
      <c r="C107" s="130"/>
      <c r="D107" s="130"/>
      <c r="E107" s="130"/>
      <c r="F107" s="130"/>
      <c r="G107" s="130"/>
      <c r="H107" s="1"/>
      <c r="I107" s="1"/>
      <c r="J107" s="1"/>
      <c r="K107" s="1"/>
      <c r="O107" s="1"/>
      <c r="P107" s="1"/>
      <c r="Q107" s="1"/>
      <c r="R107" s="1"/>
      <c r="S107" s="1"/>
    </row>
    <row r="108" spans="1:19" s="7" customFormat="1" ht="14.25" customHeight="1">
      <c r="A108" s="130"/>
      <c r="B108" s="130"/>
      <c r="C108" s="130"/>
      <c r="D108" s="130"/>
      <c r="E108" s="130"/>
      <c r="F108" s="130"/>
      <c r="G108" s="130"/>
      <c r="H108" s="1"/>
      <c r="I108" s="1"/>
      <c r="J108" s="1"/>
      <c r="K108" s="1"/>
      <c r="O108" s="1"/>
      <c r="P108" s="1"/>
      <c r="Q108" s="1"/>
      <c r="R108" s="1"/>
      <c r="S108" s="1"/>
    </row>
    <row r="109" spans="1:19" ht="14.25" customHeight="1">
      <c r="A109" s="130"/>
      <c r="B109" s="130"/>
      <c r="C109" s="130"/>
      <c r="D109" s="130"/>
      <c r="E109" s="130"/>
      <c r="F109" s="130"/>
      <c r="G109" s="130"/>
    </row>
    <row r="110" spans="1:19" ht="14.25" customHeight="1">
      <c r="A110" s="130"/>
      <c r="B110" s="130"/>
      <c r="C110" s="130"/>
      <c r="D110" s="130"/>
      <c r="E110" s="130"/>
      <c r="F110" s="130"/>
      <c r="G110" s="130"/>
    </row>
    <row r="111" spans="1:19" ht="14.25" customHeight="1">
      <c r="A111" s="130"/>
      <c r="B111" s="130"/>
      <c r="C111" s="130"/>
      <c r="D111" s="130"/>
      <c r="E111" s="130"/>
      <c r="F111" s="130"/>
      <c r="G111" s="130"/>
    </row>
    <row r="112" spans="1:19" ht="14.25" customHeight="1">
      <c r="A112" s="130"/>
      <c r="B112" s="130"/>
      <c r="C112" s="130"/>
      <c r="D112" s="130"/>
      <c r="E112" s="130"/>
      <c r="F112" s="130"/>
      <c r="G112" s="130"/>
    </row>
    <row r="113" spans="1:7" ht="14.25" customHeight="1">
      <c r="A113" s="130"/>
      <c r="B113" s="130"/>
      <c r="C113" s="130"/>
      <c r="D113" s="130"/>
      <c r="E113" s="130"/>
      <c r="F113" s="130"/>
      <c r="G113" s="130"/>
    </row>
    <row r="114" spans="1:7" ht="14.25" customHeight="1">
      <c r="A114" s="130"/>
      <c r="B114" s="130"/>
      <c r="C114" s="130"/>
      <c r="D114" s="130"/>
      <c r="E114" s="130"/>
      <c r="F114" s="130"/>
      <c r="G114" s="130"/>
    </row>
    <row r="115" spans="1:7" ht="14.25" customHeight="1">
      <c r="A115" s="130"/>
      <c r="B115" s="130"/>
      <c r="C115" s="130"/>
      <c r="D115" s="130"/>
      <c r="E115" s="130"/>
      <c r="F115" s="130"/>
      <c r="G115" s="130"/>
    </row>
    <row r="116" spans="1:7" ht="14.25" customHeight="1">
      <c r="A116" s="130"/>
      <c r="B116" s="130"/>
      <c r="C116" s="130"/>
      <c r="D116" s="130"/>
      <c r="E116" s="130"/>
      <c r="F116" s="130"/>
      <c r="G116" s="130"/>
    </row>
    <row r="117" spans="1:7" ht="14.25" customHeight="1">
      <c r="A117" s="130"/>
      <c r="B117" s="130"/>
      <c r="C117" s="130"/>
      <c r="D117" s="130"/>
      <c r="E117" s="130"/>
      <c r="F117" s="130"/>
      <c r="G117" s="130"/>
    </row>
    <row r="118" spans="1:7" ht="14.25" customHeight="1">
      <c r="A118" s="130"/>
      <c r="B118" s="130"/>
      <c r="C118" s="130"/>
      <c r="D118" s="130"/>
      <c r="E118" s="130"/>
      <c r="F118" s="130"/>
      <c r="G118" s="130"/>
    </row>
    <row r="119" spans="1:7" ht="14.25" customHeight="1">
      <c r="A119" s="130"/>
      <c r="B119" s="130"/>
      <c r="C119" s="130"/>
      <c r="D119" s="130"/>
      <c r="E119" s="130"/>
      <c r="F119" s="130"/>
      <c r="G119" s="130"/>
    </row>
    <row r="120" spans="1:7" ht="14.25" customHeight="1">
      <c r="A120" s="130"/>
      <c r="B120" s="130"/>
      <c r="C120" s="130"/>
      <c r="D120" s="130"/>
      <c r="E120" s="130"/>
      <c r="F120" s="130"/>
      <c r="G120" s="130"/>
    </row>
    <row r="121" spans="1:7" ht="14.25" customHeight="1">
      <c r="A121" s="130"/>
      <c r="B121" s="130"/>
      <c r="C121" s="130"/>
      <c r="D121" s="130"/>
      <c r="E121" s="130"/>
      <c r="F121" s="130"/>
      <c r="G121" s="130"/>
    </row>
    <row r="122" spans="1:7" ht="14.25" customHeight="1">
      <c r="A122" s="130"/>
      <c r="B122" s="130"/>
      <c r="C122" s="130"/>
      <c r="D122" s="130"/>
      <c r="E122" s="130"/>
      <c r="F122" s="130"/>
      <c r="G122" s="130"/>
    </row>
    <row r="123" spans="1:7" ht="14.25" customHeight="1">
      <c r="A123" s="130"/>
      <c r="B123" s="130"/>
      <c r="C123" s="130"/>
      <c r="D123" s="130"/>
      <c r="E123" s="130"/>
      <c r="F123" s="130"/>
      <c r="G123" s="130"/>
    </row>
    <row r="124" spans="1:7" ht="14.25" customHeight="1">
      <c r="A124" s="130"/>
      <c r="B124" s="130"/>
      <c r="C124" s="130"/>
      <c r="D124" s="130"/>
      <c r="E124" s="130"/>
      <c r="F124" s="130"/>
      <c r="G124" s="130"/>
    </row>
    <row r="125" spans="1:7" ht="14.25" customHeight="1">
      <c r="A125" s="130"/>
      <c r="B125" s="130"/>
      <c r="C125" s="130"/>
      <c r="D125" s="130"/>
      <c r="E125" s="130"/>
      <c r="F125" s="130"/>
      <c r="G125" s="130"/>
    </row>
    <row r="126" spans="1:7" ht="14.25" customHeight="1">
      <c r="A126" s="130"/>
      <c r="B126" s="130"/>
      <c r="C126" s="130"/>
      <c r="D126" s="130"/>
      <c r="E126" s="130"/>
      <c r="F126" s="130"/>
      <c r="G126" s="130"/>
    </row>
    <row r="127" spans="1:7" ht="14.25" customHeight="1">
      <c r="A127" s="130"/>
      <c r="B127" s="130"/>
      <c r="C127" s="130"/>
      <c r="D127" s="130"/>
      <c r="E127" s="130"/>
      <c r="F127" s="130"/>
      <c r="G127" s="130"/>
    </row>
    <row r="128" spans="1:7" ht="14.25" customHeight="1">
      <c r="A128" s="130"/>
      <c r="B128" s="130"/>
      <c r="C128" s="130"/>
      <c r="D128" s="130"/>
      <c r="E128" s="130"/>
      <c r="F128" s="130"/>
      <c r="G128" s="130"/>
    </row>
    <row r="129" spans="1:7" ht="14.25" customHeight="1">
      <c r="A129" s="130"/>
      <c r="B129" s="130"/>
      <c r="C129" s="130"/>
      <c r="D129" s="130"/>
      <c r="E129" s="130"/>
      <c r="F129" s="130"/>
      <c r="G129" s="130"/>
    </row>
    <row r="130" spans="1:7" ht="14.25" customHeight="1">
      <c r="A130" s="130"/>
      <c r="B130" s="130"/>
      <c r="C130" s="130"/>
      <c r="D130" s="130"/>
      <c r="E130" s="130"/>
      <c r="F130" s="130"/>
      <c r="G130" s="130"/>
    </row>
    <row r="131" spans="1:7" ht="14.25" customHeight="1">
      <c r="A131" s="130"/>
      <c r="B131" s="130"/>
      <c r="C131" s="130"/>
      <c r="D131" s="130"/>
      <c r="E131" s="130"/>
      <c r="F131" s="130"/>
      <c r="G131" s="130"/>
    </row>
    <row r="132" spans="1:7" ht="14.25" customHeight="1">
      <c r="A132" s="130"/>
      <c r="B132" s="130"/>
      <c r="C132" s="130"/>
      <c r="D132" s="130"/>
      <c r="E132" s="130"/>
      <c r="F132" s="130"/>
      <c r="G132" s="130"/>
    </row>
    <row r="133" spans="1:7" ht="14.25" customHeight="1">
      <c r="A133" s="130"/>
      <c r="B133" s="130"/>
      <c r="C133" s="130"/>
      <c r="D133" s="130"/>
      <c r="E133" s="130"/>
      <c r="F133" s="130"/>
      <c r="G133" s="130"/>
    </row>
    <row r="134" spans="1:7" ht="14.25" customHeight="1">
      <c r="A134" s="130"/>
      <c r="B134" s="130"/>
      <c r="C134" s="130"/>
      <c r="D134" s="130"/>
      <c r="E134" s="130"/>
      <c r="F134" s="130"/>
      <c r="G134" s="130"/>
    </row>
    <row r="135" spans="1:7" ht="14.25" customHeight="1">
      <c r="A135" s="130"/>
      <c r="B135" s="130"/>
      <c r="C135" s="130"/>
      <c r="D135" s="130"/>
      <c r="E135" s="130"/>
      <c r="F135" s="130"/>
      <c r="G135" s="130"/>
    </row>
    <row r="136" spans="1:7" ht="14.25" customHeight="1">
      <c r="A136" s="130"/>
      <c r="B136" s="130"/>
      <c r="C136" s="130"/>
      <c r="D136" s="130"/>
      <c r="E136" s="130"/>
      <c r="F136" s="130"/>
      <c r="G136" s="130"/>
    </row>
    <row r="137" spans="1:7" ht="14.25" customHeight="1">
      <c r="A137" s="130"/>
      <c r="B137" s="130"/>
      <c r="C137" s="130"/>
      <c r="D137" s="130"/>
      <c r="E137" s="130"/>
      <c r="F137" s="130"/>
      <c r="G137" s="130"/>
    </row>
    <row r="138" spans="1:7" ht="14.25" customHeight="1">
      <c r="A138" s="130"/>
      <c r="B138" s="130"/>
      <c r="C138" s="130"/>
      <c r="D138" s="130"/>
      <c r="E138" s="130"/>
      <c r="F138" s="130"/>
      <c r="G138" s="130"/>
    </row>
    <row r="139" spans="1:7" ht="14.25" customHeight="1">
      <c r="A139" s="130"/>
      <c r="B139" s="130"/>
      <c r="C139" s="130"/>
      <c r="D139" s="130"/>
      <c r="E139" s="130"/>
      <c r="F139" s="130"/>
      <c r="G139" s="130"/>
    </row>
    <row r="140" spans="1:7" ht="14.25" customHeight="1">
      <c r="A140" s="130"/>
      <c r="B140" s="130"/>
      <c r="C140" s="130"/>
      <c r="D140" s="130"/>
      <c r="E140" s="130"/>
      <c r="F140" s="130"/>
      <c r="G140" s="130"/>
    </row>
    <row r="141" spans="1:7" ht="14.25" customHeight="1">
      <c r="A141" s="130"/>
      <c r="B141" s="130"/>
      <c r="C141" s="130"/>
      <c r="D141" s="130"/>
      <c r="E141" s="130"/>
      <c r="F141" s="130"/>
      <c r="G141" s="130"/>
    </row>
    <row r="142" spans="1:7" ht="14.25" customHeight="1">
      <c r="A142" s="130"/>
      <c r="B142" s="130"/>
      <c r="C142" s="130"/>
      <c r="D142" s="130"/>
      <c r="E142" s="130"/>
      <c r="F142" s="130"/>
      <c r="G142" s="130"/>
    </row>
    <row r="143" spans="1:7" ht="14.25" customHeight="1">
      <c r="A143" s="130"/>
      <c r="B143" s="130"/>
      <c r="C143" s="130"/>
      <c r="D143" s="130"/>
      <c r="E143" s="130"/>
      <c r="F143" s="130"/>
      <c r="G143" s="130"/>
    </row>
    <row r="144" spans="1:7" ht="14.25" customHeight="1">
      <c r="A144" s="130"/>
      <c r="B144" s="130"/>
      <c r="C144" s="130"/>
      <c r="D144" s="130"/>
      <c r="E144" s="130"/>
      <c r="F144" s="130"/>
      <c r="G144" s="130"/>
    </row>
    <row r="145" spans="1:7" ht="14.25" customHeight="1">
      <c r="A145" s="130"/>
      <c r="B145" s="130"/>
      <c r="C145" s="130"/>
      <c r="D145" s="130"/>
      <c r="E145" s="130"/>
      <c r="F145" s="130"/>
      <c r="G145" s="130"/>
    </row>
    <row r="146" spans="1:7" ht="14.25" customHeight="1">
      <c r="A146" s="130"/>
      <c r="B146" s="130"/>
      <c r="C146" s="130"/>
      <c r="D146" s="130"/>
      <c r="E146" s="130"/>
      <c r="F146" s="130"/>
      <c r="G146" s="130"/>
    </row>
    <row r="147" spans="1:7" ht="14.25" customHeight="1">
      <c r="A147" s="130"/>
      <c r="B147" s="130"/>
      <c r="C147" s="130"/>
      <c r="D147" s="130"/>
      <c r="E147" s="130"/>
      <c r="F147" s="130"/>
      <c r="G147" s="130"/>
    </row>
    <row r="148" spans="1:7" ht="14.25" customHeight="1">
      <c r="A148" s="130"/>
      <c r="B148" s="130"/>
      <c r="C148" s="130"/>
      <c r="D148" s="130"/>
      <c r="E148" s="130"/>
      <c r="F148" s="130"/>
      <c r="G148" s="130"/>
    </row>
    <row r="149" spans="1:7" ht="14.25" customHeight="1">
      <c r="A149" s="130"/>
      <c r="B149" s="130"/>
      <c r="C149" s="130"/>
      <c r="D149" s="130"/>
      <c r="E149" s="130"/>
      <c r="F149" s="130"/>
      <c r="G149" s="130"/>
    </row>
    <row r="150" spans="1:7" ht="14.25" customHeight="1">
      <c r="A150" s="130"/>
      <c r="B150" s="130"/>
      <c r="C150" s="130"/>
      <c r="D150" s="130"/>
      <c r="E150" s="130"/>
      <c r="F150" s="130"/>
      <c r="G150" s="130"/>
    </row>
    <row r="151" spans="1:7" ht="14.25" customHeight="1">
      <c r="A151" s="130"/>
      <c r="B151" s="130"/>
      <c r="C151" s="130"/>
      <c r="D151" s="130"/>
      <c r="E151" s="130"/>
      <c r="F151" s="130"/>
      <c r="G151" s="130"/>
    </row>
    <row r="152" spans="1:7" ht="14.25" customHeight="1">
      <c r="A152" s="130"/>
      <c r="B152" s="130"/>
      <c r="C152" s="130"/>
      <c r="D152" s="130"/>
      <c r="E152" s="130"/>
      <c r="F152" s="130"/>
      <c r="G152" s="130"/>
    </row>
    <row r="153" spans="1:7" ht="14.25" customHeight="1">
      <c r="A153" s="130"/>
      <c r="B153" s="130"/>
      <c r="C153" s="130"/>
      <c r="D153" s="130"/>
      <c r="E153" s="130"/>
      <c r="F153" s="130"/>
      <c r="G153" s="130"/>
    </row>
    <row r="154" spans="1:7" ht="14.25" customHeight="1">
      <c r="A154" s="130"/>
      <c r="B154" s="130"/>
      <c r="C154" s="130"/>
      <c r="D154" s="130"/>
      <c r="E154" s="130"/>
      <c r="F154" s="130"/>
      <c r="G154" s="130"/>
    </row>
    <row r="155" spans="1:7" ht="14.25" customHeight="1">
      <c r="A155" s="130"/>
      <c r="B155" s="130"/>
      <c r="C155" s="130"/>
      <c r="D155" s="130"/>
      <c r="E155" s="130"/>
      <c r="F155" s="130"/>
      <c r="G155" s="130"/>
    </row>
    <row r="156" spans="1:7" ht="14.25" customHeight="1">
      <c r="A156" s="130"/>
      <c r="B156" s="130"/>
      <c r="C156" s="130"/>
      <c r="D156" s="130"/>
      <c r="E156" s="130"/>
      <c r="F156" s="130"/>
      <c r="G156" s="130"/>
    </row>
    <row r="157" spans="1:7" ht="14.25" customHeight="1">
      <c r="A157" s="130"/>
      <c r="B157" s="130"/>
      <c r="C157" s="130"/>
      <c r="D157" s="130"/>
      <c r="E157" s="130"/>
      <c r="F157" s="130"/>
      <c r="G157" s="130"/>
    </row>
    <row r="158" spans="1:7" ht="14.25" customHeight="1">
      <c r="A158" s="130"/>
      <c r="B158" s="130"/>
      <c r="C158" s="130"/>
      <c r="D158" s="130"/>
      <c r="E158" s="130"/>
      <c r="F158" s="130"/>
      <c r="G158" s="130"/>
    </row>
    <row r="159" spans="1:7" ht="14.25" customHeight="1">
      <c r="A159" s="130"/>
      <c r="B159" s="130"/>
      <c r="C159" s="130"/>
      <c r="D159" s="130"/>
      <c r="E159" s="130"/>
      <c r="F159" s="130"/>
      <c r="G159" s="130"/>
    </row>
    <row r="160" spans="1:7" ht="14.25" customHeight="1">
      <c r="A160" s="130"/>
      <c r="B160" s="130"/>
      <c r="C160" s="130"/>
      <c r="D160" s="130"/>
      <c r="E160" s="130"/>
      <c r="F160" s="130"/>
      <c r="G160" s="130"/>
    </row>
    <row r="161" spans="1:7" ht="14.25" customHeight="1">
      <c r="A161" s="130"/>
      <c r="B161" s="130"/>
      <c r="C161" s="130"/>
      <c r="D161" s="130"/>
      <c r="E161" s="130"/>
      <c r="F161" s="130"/>
      <c r="G161" s="130"/>
    </row>
    <row r="162" spans="1:7" ht="14.25" customHeight="1">
      <c r="A162" s="130"/>
      <c r="B162" s="130"/>
      <c r="C162" s="130"/>
      <c r="D162" s="130"/>
      <c r="E162" s="130"/>
      <c r="F162" s="130"/>
      <c r="G162" s="130"/>
    </row>
    <row r="163" spans="1:7" ht="14.25" customHeight="1">
      <c r="A163" s="130"/>
      <c r="B163" s="130"/>
      <c r="C163" s="130"/>
      <c r="D163" s="130"/>
      <c r="E163" s="130"/>
      <c r="F163" s="130"/>
      <c r="G163" s="130"/>
    </row>
    <row r="164" spans="1:7" ht="14.25" customHeight="1">
      <c r="A164" s="130"/>
      <c r="B164" s="130"/>
      <c r="C164" s="130"/>
      <c r="D164" s="130"/>
      <c r="E164" s="130"/>
      <c r="F164" s="130"/>
      <c r="G164" s="130"/>
    </row>
    <row r="165" spans="1:7" ht="14.25" customHeight="1">
      <c r="A165" s="130"/>
      <c r="B165" s="130"/>
      <c r="C165" s="130"/>
      <c r="D165" s="130"/>
      <c r="E165" s="130"/>
      <c r="F165" s="130"/>
      <c r="G165" s="130"/>
    </row>
    <row r="166" spans="1:7" ht="14.25" customHeight="1">
      <c r="A166" s="130"/>
      <c r="B166" s="130"/>
      <c r="C166" s="130"/>
      <c r="D166" s="130"/>
      <c r="E166" s="130"/>
      <c r="F166" s="130"/>
      <c r="G166" s="130"/>
    </row>
    <row r="167" spans="1:7" ht="14.25" customHeight="1">
      <c r="A167" s="130"/>
      <c r="B167" s="130"/>
      <c r="C167" s="130"/>
      <c r="D167" s="130"/>
      <c r="E167" s="130"/>
      <c r="F167" s="130"/>
      <c r="G167" s="130"/>
    </row>
    <row r="168" spans="1:7" ht="14.25" customHeight="1">
      <c r="A168" s="130"/>
      <c r="B168" s="130"/>
      <c r="C168" s="130"/>
      <c r="D168" s="130"/>
      <c r="E168" s="130"/>
      <c r="F168" s="130"/>
      <c r="G168" s="130"/>
    </row>
    <row r="169" spans="1:7" ht="14.25" customHeight="1">
      <c r="A169" s="130"/>
      <c r="B169" s="130"/>
      <c r="C169" s="130"/>
      <c r="D169" s="130"/>
      <c r="E169" s="130"/>
      <c r="F169" s="130"/>
      <c r="G169" s="130"/>
    </row>
    <row r="170" spans="1:7" ht="14.25" customHeight="1">
      <c r="A170" s="130"/>
      <c r="B170" s="130"/>
      <c r="C170" s="130"/>
      <c r="D170" s="130"/>
      <c r="E170" s="130"/>
      <c r="F170" s="130"/>
      <c r="G170" s="130"/>
    </row>
    <row r="171" spans="1:7" ht="14.25" customHeight="1">
      <c r="A171" s="130"/>
      <c r="B171" s="130"/>
      <c r="C171" s="130"/>
      <c r="D171" s="130"/>
      <c r="E171" s="130"/>
      <c r="F171" s="130"/>
      <c r="G171" s="130"/>
    </row>
    <row r="172" spans="1:7" ht="14.25" customHeight="1">
      <c r="A172" s="130"/>
      <c r="B172" s="130"/>
      <c r="C172" s="130"/>
      <c r="D172" s="130"/>
      <c r="E172" s="130"/>
      <c r="F172" s="130"/>
      <c r="G172" s="130"/>
    </row>
    <row r="173" spans="1:7" ht="14.25" customHeight="1">
      <c r="A173" s="130"/>
      <c r="B173" s="130"/>
      <c r="C173" s="130"/>
      <c r="D173" s="130"/>
      <c r="E173" s="130"/>
      <c r="F173" s="130"/>
      <c r="G173" s="130"/>
    </row>
    <row r="174" spans="1:7" ht="14.25" customHeight="1">
      <c r="A174" s="130"/>
      <c r="B174" s="130"/>
      <c r="C174" s="130"/>
      <c r="D174" s="130"/>
      <c r="E174" s="130"/>
      <c r="F174" s="130"/>
      <c r="G174" s="130"/>
    </row>
    <row r="175" spans="1:7" ht="14.25" customHeight="1">
      <c r="A175" s="130"/>
      <c r="B175" s="130"/>
      <c r="C175" s="130"/>
      <c r="D175" s="130"/>
      <c r="E175" s="130"/>
      <c r="F175" s="130"/>
      <c r="G175" s="130"/>
    </row>
    <row r="176" spans="1:7" ht="14.25" customHeight="1">
      <c r="A176" s="130"/>
      <c r="B176" s="130"/>
      <c r="C176" s="130"/>
      <c r="D176" s="130"/>
      <c r="E176" s="130"/>
      <c r="F176" s="130"/>
      <c r="G176" s="130"/>
    </row>
    <row r="177" spans="1:7" ht="14.25" customHeight="1">
      <c r="A177" s="130"/>
      <c r="B177" s="130"/>
      <c r="C177" s="130"/>
      <c r="D177" s="130"/>
      <c r="E177" s="130"/>
      <c r="F177" s="130"/>
      <c r="G177" s="130"/>
    </row>
    <row r="178" spans="1:7" ht="14.25" customHeight="1">
      <c r="A178" s="130"/>
      <c r="B178" s="130"/>
      <c r="C178" s="130"/>
      <c r="D178" s="130"/>
      <c r="E178" s="130"/>
      <c r="F178" s="130"/>
      <c r="G178" s="130"/>
    </row>
    <row r="179" spans="1:7" ht="14.25" customHeight="1">
      <c r="A179" s="130"/>
      <c r="B179" s="130"/>
      <c r="C179" s="130"/>
      <c r="D179" s="130"/>
      <c r="E179" s="130"/>
      <c r="F179" s="130"/>
      <c r="G179" s="130"/>
    </row>
    <row r="180" spans="1:7" ht="14.25" customHeight="1">
      <c r="A180" s="130"/>
      <c r="B180" s="130"/>
      <c r="C180" s="130"/>
      <c r="D180" s="130"/>
      <c r="E180" s="130"/>
      <c r="F180" s="130"/>
      <c r="G180" s="130"/>
    </row>
    <row r="181" spans="1:7" ht="14.25" customHeight="1">
      <c r="A181" s="130"/>
      <c r="B181" s="130"/>
      <c r="C181" s="130"/>
      <c r="D181" s="130"/>
      <c r="E181" s="130"/>
      <c r="F181" s="130"/>
      <c r="G181" s="130"/>
    </row>
    <row r="182" spans="1:7" ht="14.25" customHeight="1">
      <c r="A182" s="130"/>
      <c r="B182" s="130"/>
      <c r="C182" s="130"/>
      <c r="D182" s="130"/>
      <c r="E182" s="130"/>
      <c r="F182" s="130"/>
      <c r="G182" s="130"/>
    </row>
    <row r="183" spans="1:7" ht="14.25" customHeight="1">
      <c r="A183" s="130"/>
      <c r="B183" s="130"/>
      <c r="C183" s="130"/>
      <c r="D183" s="130"/>
      <c r="E183" s="130"/>
      <c r="F183" s="130"/>
      <c r="G183" s="130"/>
    </row>
    <row r="184" spans="1:7" ht="14.25" customHeight="1">
      <c r="A184" s="130"/>
      <c r="B184" s="130"/>
      <c r="C184" s="130"/>
      <c r="D184" s="130"/>
      <c r="E184" s="130"/>
      <c r="F184" s="130"/>
      <c r="G184" s="130"/>
    </row>
    <row r="185" spans="1:7" ht="14.25" customHeight="1">
      <c r="A185" s="130"/>
      <c r="B185" s="130"/>
      <c r="C185" s="130"/>
      <c r="D185" s="130"/>
      <c r="E185" s="130"/>
      <c r="F185" s="130"/>
      <c r="G185" s="130"/>
    </row>
    <row r="186" spans="1:7" ht="14.25" customHeight="1">
      <c r="A186" s="130"/>
      <c r="B186" s="130"/>
      <c r="C186" s="130"/>
      <c r="D186" s="130"/>
      <c r="E186" s="130"/>
      <c r="F186" s="130"/>
      <c r="G186" s="130"/>
    </row>
    <row r="187" spans="1:7" ht="14.25" customHeight="1">
      <c r="A187" s="130"/>
      <c r="B187" s="130"/>
      <c r="C187" s="130"/>
      <c r="D187" s="130"/>
      <c r="E187" s="130"/>
      <c r="F187" s="130"/>
      <c r="G187" s="130"/>
    </row>
    <row r="188" spans="1:7" ht="14.25" customHeight="1">
      <c r="A188" s="130"/>
      <c r="B188" s="130"/>
      <c r="C188" s="130"/>
      <c r="D188" s="130"/>
      <c r="E188" s="130"/>
      <c r="F188" s="130"/>
      <c r="G188" s="130"/>
    </row>
    <row r="189" spans="1:7" ht="14.25" customHeight="1">
      <c r="A189" s="130"/>
      <c r="B189" s="130"/>
      <c r="C189" s="130"/>
      <c r="D189" s="130"/>
      <c r="E189" s="130"/>
      <c r="F189" s="130"/>
      <c r="G189" s="130"/>
    </row>
    <row r="190" spans="1:7" ht="14.25" customHeight="1">
      <c r="A190" s="130"/>
      <c r="B190" s="130"/>
      <c r="C190" s="130"/>
      <c r="D190" s="130"/>
      <c r="E190" s="130"/>
      <c r="F190" s="130"/>
      <c r="G190" s="130"/>
    </row>
    <row r="191" spans="1:7" ht="14.25" customHeight="1">
      <c r="A191" s="130"/>
      <c r="B191" s="130"/>
      <c r="C191" s="130"/>
      <c r="D191" s="130"/>
      <c r="E191" s="130"/>
      <c r="F191" s="130"/>
      <c r="G191" s="130"/>
    </row>
    <row r="192" spans="1:7" ht="14.25" customHeight="1">
      <c r="A192" s="130"/>
      <c r="B192" s="130"/>
      <c r="C192" s="130"/>
      <c r="D192" s="130"/>
      <c r="E192" s="130"/>
      <c r="F192" s="130"/>
      <c r="G192" s="130"/>
    </row>
    <row r="193" spans="1:7" ht="14.25" customHeight="1">
      <c r="A193" s="130"/>
      <c r="B193" s="130"/>
      <c r="C193" s="130"/>
      <c r="D193" s="130"/>
      <c r="E193" s="130"/>
      <c r="F193" s="130"/>
      <c r="G193" s="130"/>
    </row>
    <row r="194" spans="1:7" ht="14.25" customHeight="1">
      <c r="A194" s="130"/>
      <c r="B194" s="130"/>
      <c r="C194" s="130"/>
      <c r="D194" s="130"/>
      <c r="E194" s="130"/>
      <c r="F194" s="130"/>
      <c r="G194" s="130"/>
    </row>
    <row r="195" spans="1:7" ht="14.25" customHeight="1">
      <c r="A195" s="130"/>
      <c r="B195" s="130"/>
      <c r="C195" s="130"/>
      <c r="D195" s="130"/>
      <c r="E195" s="130"/>
      <c r="F195" s="130"/>
      <c r="G195" s="130"/>
    </row>
    <row r="196" spans="1:7" ht="14.25" customHeight="1">
      <c r="A196" s="130"/>
      <c r="B196" s="130"/>
      <c r="C196" s="130"/>
      <c r="D196" s="130"/>
      <c r="E196" s="130"/>
      <c r="F196" s="130"/>
      <c r="G196" s="130"/>
    </row>
    <row r="197" spans="1:7" ht="14.25" customHeight="1">
      <c r="A197" s="130"/>
      <c r="B197" s="130"/>
      <c r="C197" s="130"/>
      <c r="D197" s="130"/>
      <c r="E197" s="130"/>
      <c r="F197" s="130"/>
      <c r="G197" s="130"/>
    </row>
    <row r="198" spans="1:7" ht="14.25" customHeight="1">
      <c r="A198" s="130"/>
      <c r="B198" s="130"/>
      <c r="C198" s="130"/>
      <c r="D198" s="130"/>
      <c r="E198" s="130"/>
      <c r="F198" s="130"/>
      <c r="G198" s="130"/>
    </row>
    <row r="199" spans="1:7" ht="14.25" customHeight="1">
      <c r="A199" s="130"/>
      <c r="B199" s="130"/>
      <c r="C199" s="130"/>
      <c r="D199" s="130"/>
      <c r="E199" s="130"/>
      <c r="F199" s="130"/>
      <c r="G199" s="130"/>
    </row>
    <row r="200" spans="1:7" ht="14.25" customHeight="1">
      <c r="A200" s="130"/>
      <c r="B200" s="130"/>
      <c r="C200" s="130"/>
      <c r="D200" s="130"/>
      <c r="E200" s="130"/>
      <c r="F200" s="130"/>
      <c r="G200" s="130"/>
    </row>
    <row r="201" spans="1:7" ht="14.25" customHeight="1">
      <c r="A201" s="130"/>
      <c r="B201" s="130"/>
      <c r="C201" s="130"/>
      <c r="D201" s="130"/>
      <c r="E201" s="130"/>
      <c r="F201" s="130"/>
      <c r="G201" s="130"/>
    </row>
    <row r="202" spans="1:7" ht="14.25" customHeight="1">
      <c r="A202" s="130"/>
      <c r="B202" s="130"/>
      <c r="C202" s="130"/>
      <c r="D202" s="130"/>
      <c r="E202" s="130"/>
      <c r="F202" s="130"/>
      <c r="G202" s="130"/>
    </row>
    <row r="203" spans="1:7" ht="14.25" customHeight="1">
      <c r="A203" s="130"/>
      <c r="B203" s="130"/>
      <c r="C203" s="130"/>
      <c r="D203" s="130"/>
      <c r="E203" s="130"/>
      <c r="F203" s="130"/>
      <c r="G203" s="130"/>
    </row>
    <row r="204" spans="1:7" ht="14.25" customHeight="1">
      <c r="A204" s="130"/>
      <c r="B204" s="130"/>
      <c r="C204" s="130"/>
      <c r="D204" s="130"/>
      <c r="E204" s="130"/>
      <c r="F204" s="130"/>
      <c r="G204" s="130"/>
    </row>
    <row r="205" spans="1:7" ht="14.25" customHeight="1">
      <c r="A205" s="130"/>
      <c r="B205" s="130"/>
      <c r="C205" s="130"/>
      <c r="D205" s="130"/>
      <c r="E205" s="130"/>
      <c r="F205" s="130"/>
      <c r="G205" s="130"/>
    </row>
    <row r="206" spans="1:7" ht="14.25" customHeight="1">
      <c r="A206" s="130"/>
      <c r="B206" s="130"/>
      <c r="C206" s="130"/>
      <c r="D206" s="130"/>
      <c r="E206" s="130"/>
      <c r="F206" s="130"/>
      <c r="G206" s="130"/>
    </row>
    <row r="207" spans="1:7" ht="14.25" customHeight="1">
      <c r="A207" s="130"/>
      <c r="B207" s="130"/>
      <c r="C207" s="130"/>
      <c r="D207" s="130"/>
      <c r="E207" s="130"/>
      <c r="F207" s="130"/>
      <c r="G207" s="130"/>
    </row>
    <row r="208" spans="1:7" ht="14.25" customHeight="1">
      <c r="A208" s="130"/>
      <c r="B208" s="130"/>
      <c r="C208" s="130"/>
      <c r="D208" s="130"/>
      <c r="E208" s="130"/>
      <c r="F208" s="130"/>
      <c r="G208" s="130"/>
    </row>
    <row r="209" spans="1:7" ht="14.25" customHeight="1">
      <c r="A209" s="130"/>
      <c r="B209" s="130"/>
      <c r="C209" s="130"/>
      <c r="D209" s="130"/>
      <c r="E209" s="130"/>
      <c r="F209" s="130"/>
      <c r="G209" s="130"/>
    </row>
    <row r="210" spans="1:7" ht="14.25" customHeight="1">
      <c r="A210" s="130"/>
      <c r="B210" s="130"/>
      <c r="C210" s="130"/>
      <c r="D210" s="130"/>
      <c r="E210" s="130"/>
      <c r="F210" s="130"/>
      <c r="G210" s="130"/>
    </row>
    <row r="211" spans="1:7" ht="14.25" customHeight="1">
      <c r="A211" s="130"/>
      <c r="B211" s="130"/>
      <c r="C211" s="130"/>
      <c r="D211" s="130"/>
      <c r="E211" s="130"/>
      <c r="F211" s="130"/>
      <c r="G211" s="130"/>
    </row>
    <row r="212" spans="1:7" ht="14.25" customHeight="1">
      <c r="A212" s="130"/>
      <c r="B212" s="130"/>
      <c r="C212" s="130"/>
      <c r="D212" s="130"/>
      <c r="E212" s="130"/>
      <c r="F212" s="130"/>
      <c r="G212" s="130"/>
    </row>
    <row r="213" spans="1:7" ht="14.25" customHeight="1">
      <c r="A213" s="130"/>
      <c r="B213" s="130"/>
      <c r="C213" s="130"/>
      <c r="D213" s="130"/>
      <c r="E213" s="130"/>
      <c r="F213" s="130"/>
      <c r="G213" s="130"/>
    </row>
    <row r="214" spans="1:7" ht="14.25" customHeight="1">
      <c r="A214" s="130"/>
      <c r="B214" s="130"/>
      <c r="C214" s="130"/>
      <c r="D214" s="130"/>
      <c r="E214" s="130"/>
      <c r="F214" s="130"/>
      <c r="G214" s="130"/>
    </row>
    <row r="215" spans="1:7" ht="14.25" customHeight="1">
      <c r="A215" s="130"/>
      <c r="B215" s="130"/>
      <c r="C215" s="130"/>
      <c r="D215" s="130"/>
      <c r="E215" s="130"/>
      <c r="F215" s="130"/>
      <c r="G215" s="130"/>
    </row>
    <row r="216" spans="1:7" ht="14.25" customHeight="1">
      <c r="A216" s="130"/>
      <c r="B216" s="130"/>
      <c r="C216" s="130"/>
      <c r="D216" s="130"/>
      <c r="E216" s="130"/>
      <c r="F216" s="130"/>
      <c r="G216" s="130"/>
    </row>
    <row r="217" spans="1:7" ht="14.25" customHeight="1">
      <c r="A217" s="130"/>
      <c r="B217" s="130"/>
      <c r="C217" s="130"/>
      <c r="D217" s="130"/>
      <c r="E217" s="130"/>
      <c r="F217" s="130"/>
      <c r="G217" s="130"/>
    </row>
    <row r="218" spans="1:7" ht="14.25" customHeight="1">
      <c r="A218" s="130"/>
      <c r="B218" s="130"/>
      <c r="C218" s="130"/>
      <c r="D218" s="130"/>
      <c r="E218" s="130"/>
      <c r="F218" s="130"/>
      <c r="G218" s="130"/>
    </row>
    <row r="219" spans="1:7" ht="14.25" customHeight="1">
      <c r="A219" s="130"/>
      <c r="B219" s="130"/>
      <c r="C219" s="130"/>
      <c r="D219" s="130"/>
      <c r="E219" s="130"/>
      <c r="F219" s="130"/>
      <c r="G219" s="130"/>
    </row>
    <row r="220" spans="1:7" ht="14.25" customHeight="1">
      <c r="A220" s="130"/>
      <c r="B220" s="130"/>
      <c r="C220" s="130"/>
      <c r="D220" s="130"/>
      <c r="E220" s="130"/>
      <c r="F220" s="130"/>
      <c r="G220" s="130"/>
    </row>
    <row r="221" spans="1:7" ht="14.25" customHeight="1">
      <c r="A221" s="130"/>
      <c r="B221" s="130"/>
      <c r="C221" s="130"/>
      <c r="D221" s="130"/>
      <c r="E221" s="130"/>
      <c r="F221" s="130"/>
      <c r="G221" s="130"/>
    </row>
    <row r="222" spans="1:7" ht="14.25" customHeight="1">
      <c r="A222" s="130"/>
      <c r="B222" s="130"/>
      <c r="C222" s="130"/>
      <c r="D222" s="130"/>
      <c r="E222" s="130"/>
      <c r="F222" s="130"/>
      <c r="G222" s="130"/>
    </row>
    <row r="223" spans="1:7" ht="14.25" customHeight="1">
      <c r="A223" s="130"/>
      <c r="B223" s="130"/>
      <c r="C223" s="130"/>
      <c r="D223" s="130"/>
      <c r="E223" s="130"/>
      <c r="F223" s="130"/>
      <c r="G223" s="130"/>
    </row>
    <row r="224" spans="1:7" ht="14.25" customHeight="1">
      <c r="A224" s="130"/>
      <c r="B224" s="130"/>
      <c r="C224" s="130"/>
      <c r="D224" s="130"/>
      <c r="E224" s="130"/>
      <c r="F224" s="130"/>
      <c r="G224" s="130"/>
    </row>
    <row r="225" spans="1:7" ht="14.25" customHeight="1">
      <c r="A225" s="130"/>
      <c r="B225" s="130"/>
      <c r="C225" s="130"/>
      <c r="D225" s="130"/>
      <c r="E225" s="130"/>
      <c r="F225" s="130"/>
      <c r="G225" s="130"/>
    </row>
    <row r="226" spans="1:7" ht="14.25" customHeight="1">
      <c r="A226" s="130"/>
      <c r="B226" s="130"/>
      <c r="C226" s="130"/>
      <c r="D226" s="130"/>
      <c r="E226" s="130"/>
      <c r="F226" s="130"/>
      <c r="G226" s="130"/>
    </row>
    <row r="227" spans="1:7" ht="14.25" customHeight="1">
      <c r="A227" s="130"/>
      <c r="B227" s="130"/>
      <c r="C227" s="130"/>
      <c r="D227" s="130"/>
      <c r="E227" s="130"/>
      <c r="F227" s="130"/>
      <c r="G227" s="130"/>
    </row>
    <row r="228" spans="1:7" ht="14.25" customHeight="1">
      <c r="A228" s="130"/>
      <c r="B228" s="130"/>
      <c r="C228" s="130"/>
      <c r="D228" s="130"/>
      <c r="E228" s="130"/>
      <c r="F228" s="130"/>
      <c r="G228" s="130"/>
    </row>
    <row r="229" spans="1:7" ht="14.25" customHeight="1">
      <c r="A229" s="130"/>
      <c r="B229" s="130"/>
      <c r="C229" s="130"/>
      <c r="D229" s="130"/>
      <c r="E229" s="130"/>
      <c r="F229" s="130"/>
      <c r="G229" s="130"/>
    </row>
    <row r="230" spans="1:7" ht="14.25" customHeight="1">
      <c r="A230" s="130"/>
      <c r="B230" s="130"/>
      <c r="C230" s="130"/>
      <c r="D230" s="130"/>
      <c r="E230" s="130"/>
      <c r="F230" s="130"/>
      <c r="G230" s="130"/>
    </row>
    <row r="231" spans="1:7" ht="14.25" customHeight="1">
      <c r="A231" s="130"/>
      <c r="B231" s="130"/>
      <c r="C231" s="130"/>
      <c r="D231" s="130"/>
      <c r="E231" s="130"/>
      <c r="F231" s="130"/>
      <c r="G231" s="130"/>
    </row>
    <row r="232" spans="1:7" ht="14.25" customHeight="1">
      <c r="A232" s="130"/>
      <c r="B232" s="130"/>
      <c r="C232" s="130"/>
      <c r="D232" s="130"/>
      <c r="E232" s="130"/>
      <c r="F232" s="130"/>
      <c r="G232" s="130"/>
    </row>
    <row r="233" spans="1:7" ht="14.25" customHeight="1">
      <c r="A233" s="130"/>
      <c r="B233" s="130"/>
      <c r="C233" s="130"/>
      <c r="D233" s="130"/>
      <c r="E233" s="130"/>
      <c r="F233" s="130"/>
      <c r="G233" s="130"/>
    </row>
    <row r="234" spans="1:7" ht="14.25" customHeight="1">
      <c r="A234" s="130"/>
      <c r="B234" s="130"/>
      <c r="C234" s="130"/>
      <c r="D234" s="130"/>
      <c r="E234" s="130"/>
      <c r="F234" s="130"/>
      <c r="G234" s="130"/>
    </row>
    <row r="235" spans="1:7" ht="14.25" customHeight="1">
      <c r="A235" s="130"/>
      <c r="B235" s="130"/>
      <c r="C235" s="130"/>
      <c r="D235" s="130"/>
      <c r="E235" s="130"/>
      <c r="F235" s="130"/>
      <c r="G235" s="130"/>
    </row>
    <row r="236" spans="1:7" ht="14.25" customHeight="1">
      <c r="A236" s="130"/>
      <c r="B236" s="130"/>
      <c r="C236" s="130"/>
      <c r="D236" s="130"/>
      <c r="E236" s="130"/>
      <c r="F236" s="130"/>
      <c r="G236" s="130"/>
    </row>
    <row r="237" spans="1:7" ht="14.25" customHeight="1">
      <c r="A237" s="130"/>
      <c r="B237" s="130"/>
      <c r="C237" s="130"/>
      <c r="D237" s="130"/>
      <c r="E237" s="130"/>
      <c r="F237" s="130"/>
      <c r="G237" s="130"/>
    </row>
    <row r="238" spans="1:7" ht="14.25" customHeight="1">
      <c r="A238" s="130"/>
      <c r="B238" s="130"/>
      <c r="C238" s="130"/>
      <c r="D238" s="130"/>
      <c r="E238" s="130"/>
      <c r="F238" s="130"/>
      <c r="G238" s="130"/>
    </row>
    <row r="239" spans="1:7" ht="14.25" customHeight="1">
      <c r="A239" s="130"/>
      <c r="B239" s="130"/>
      <c r="C239" s="130"/>
      <c r="D239" s="130"/>
      <c r="E239" s="130"/>
      <c r="F239" s="130"/>
      <c r="G239" s="130"/>
    </row>
    <row r="240" spans="1:7" ht="14.25" customHeight="1">
      <c r="A240" s="130"/>
      <c r="B240" s="130"/>
      <c r="C240" s="130"/>
      <c r="D240" s="130"/>
      <c r="E240" s="130"/>
      <c r="F240" s="130"/>
      <c r="G240" s="130"/>
    </row>
    <row r="241" spans="1:7" ht="14.25" customHeight="1">
      <c r="A241" s="130"/>
      <c r="B241" s="130"/>
      <c r="C241" s="130"/>
      <c r="D241" s="130"/>
      <c r="E241" s="130"/>
      <c r="F241" s="130"/>
      <c r="G241" s="130"/>
    </row>
    <row r="242" spans="1:7" ht="14.25" customHeight="1">
      <c r="A242" s="130"/>
      <c r="B242" s="130"/>
      <c r="C242" s="130"/>
      <c r="D242" s="130"/>
      <c r="E242" s="130"/>
      <c r="F242" s="130"/>
      <c r="G242" s="130"/>
    </row>
    <row r="243" spans="1:7" ht="14.25" customHeight="1">
      <c r="A243" s="130"/>
      <c r="B243" s="130"/>
      <c r="C243" s="130"/>
      <c r="D243" s="130"/>
      <c r="E243" s="130"/>
      <c r="F243" s="130"/>
      <c r="G243" s="130"/>
    </row>
    <row r="244" spans="1:7" ht="14.25" customHeight="1">
      <c r="A244" s="130"/>
      <c r="B244" s="130"/>
      <c r="C244" s="130"/>
      <c r="D244" s="130"/>
      <c r="E244" s="130"/>
      <c r="F244" s="130"/>
      <c r="G244" s="130"/>
    </row>
    <row r="245" spans="1:7" ht="14.25" customHeight="1">
      <c r="A245" s="130"/>
      <c r="B245" s="130"/>
      <c r="C245" s="130"/>
      <c r="D245" s="130"/>
      <c r="E245" s="130"/>
      <c r="F245" s="130"/>
      <c r="G245" s="130"/>
    </row>
    <row r="246" spans="1:7" ht="14.25" customHeight="1">
      <c r="A246" s="130"/>
      <c r="B246" s="130"/>
      <c r="C246" s="130"/>
      <c r="D246" s="130"/>
      <c r="E246" s="130"/>
      <c r="F246" s="130"/>
      <c r="G246" s="130"/>
    </row>
    <row r="247" spans="1:7" ht="14.25" customHeight="1">
      <c r="A247" s="130"/>
      <c r="B247" s="130"/>
      <c r="C247" s="130"/>
      <c r="D247" s="130"/>
      <c r="E247" s="130"/>
      <c r="F247" s="130"/>
      <c r="G247" s="130"/>
    </row>
    <row r="248" spans="1:7" ht="14.25" customHeight="1">
      <c r="A248" s="130"/>
      <c r="B248" s="130"/>
      <c r="C248" s="130"/>
      <c r="D248" s="130"/>
      <c r="E248" s="130"/>
      <c r="F248" s="130"/>
      <c r="G248" s="130"/>
    </row>
  </sheetData>
  <sheetProtection algorithmName="SHA-512" hashValue="Vqt86qxxSfoctx176plYjh6oW3CYkXq2dkHut96BvOTyQNQF190l7wG5M3d0NnFknUR7s/Ay4muR6cw0Gr7cRg==" saltValue="1UA0flliU6gsw3u8gH3BVg==" spinCount="100000" sheet="1" objects="1" scenarios="1"/>
  <conditionalFormatting sqref="G45">
    <cfRule type="cellIs" dxfId="1" priority="65" stopIfTrue="1" operator="lessThan">
      <formula>0</formula>
    </cfRule>
    <cfRule type="cellIs" dxfId="0" priority="66" stopIfTrue="1" operator="greaterThan">
      <formula>0</formula>
    </cfRule>
  </conditionalFormatting>
  <dataValidations disablePrompts="1" count="7">
    <dataValidation type="list" allowBlank="1" showInputMessage="1" showErrorMessage="1" sqref="E46">
      <formula1>"DC, DP+,DP,SC,SP, towel rail,triple"</formula1>
    </dataValidation>
    <dataValidation allowBlank="1" showErrorMessage="1" prompt="insert dimension  from drop down menu" sqref="B45:D47"/>
    <dataValidation type="list" allowBlank="1" showInputMessage="1" showErrorMessage="1" sqref="E45">
      <formula1>"DC_type22, DP+type21,SC_type11"</formula1>
    </dataValidation>
    <dataValidation type="list" allowBlank="1" showInputMessage="1" showErrorMessage="1" sqref="B8">
      <formula1>$I$14:$I$22</formula1>
    </dataValidation>
    <dataValidation type="list" allowBlank="1" showInputMessage="1" showErrorMessage="1" sqref="B12">
      <formula1>$I$3:$I$7</formula1>
    </dataValidation>
    <dataValidation type="list" allowBlank="1" showInputMessage="1" showErrorMessage="1" sqref="B13">
      <formula1>$I$7:$I$12</formula1>
    </dataValidation>
    <dataValidation type="list" allowBlank="1" showInputMessage="1" showErrorMessage="1" sqref="B19">
      <formula1>$I$24:$I$27</formula1>
    </dataValidation>
  </dataValidations>
  <printOptions horizontalCentered="1"/>
  <pageMargins left="0.7" right="0.7" top="0.75" bottom="0.75" header="0.3" footer="0.3"/>
  <pageSetup paperSize="9" scale="42" orientation="portrait" horizontalDpi="4294967293" verticalDpi="4294967293"/>
  <headerFooter>
    <oddHeader>&amp;Linsert your details here&amp;Cinsert your logo here</oddHeader>
    <oddFooter>&amp;CCopyright Hendra Freedom Heat pumps
www.samsungehs.co.uk www.freedomhp.co.uk
02380274833</oddFooter>
  </headerFooter>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sheetPr enableFormatConditionsCalculation="0">
    <tabColor theme="0" tint="-0.499984740745262"/>
    <pageSetUpPr fitToPage="1"/>
  </sheetPr>
  <dimension ref="A1:V134"/>
  <sheetViews>
    <sheetView workbookViewId="0">
      <selection activeCell="K11" sqref="K11"/>
    </sheetView>
  </sheetViews>
  <sheetFormatPr defaultColWidth="9.140625" defaultRowHeight="15"/>
  <cols>
    <col min="1" max="1" width="7.42578125" style="88" bestFit="1" customWidth="1"/>
    <col min="2" max="2" width="6.85546875" style="88" bestFit="1" customWidth="1"/>
    <col min="3" max="3" width="12.7109375" style="88" bestFit="1" customWidth="1"/>
    <col min="4" max="4" width="8.28515625" style="88" bestFit="1" customWidth="1"/>
    <col min="5" max="5" width="8" style="88" bestFit="1" customWidth="1"/>
    <col min="6" max="6" width="12.85546875" style="136" bestFit="1" customWidth="1"/>
    <col min="7" max="7" width="8.7109375" style="88" bestFit="1" customWidth="1"/>
    <col min="8" max="8" width="8.7109375" style="88" customWidth="1"/>
    <col min="9" max="9" width="12.7109375" style="136" bestFit="1" customWidth="1"/>
    <col min="10" max="10" width="8.28515625" style="136" bestFit="1" customWidth="1"/>
    <col min="11" max="11" width="10.85546875" style="136" bestFit="1" customWidth="1"/>
    <col min="12" max="12" width="12.85546875" style="136" bestFit="1" customWidth="1"/>
    <col min="13" max="14" width="10.85546875" style="136" customWidth="1"/>
    <col min="15" max="15" width="12.7109375" style="136" bestFit="1" customWidth="1"/>
    <col min="16" max="16" width="8.28515625" style="136" bestFit="1" customWidth="1"/>
    <col min="17" max="17" width="8" style="136" bestFit="1" customWidth="1"/>
    <col min="18" max="18" width="12.85546875" style="136" bestFit="1" customWidth="1"/>
    <col min="19" max="19" width="8.7109375" style="136" bestFit="1" customWidth="1"/>
    <col min="20" max="20" width="8.85546875" customWidth="1"/>
    <col min="21" max="16384" width="9.140625" style="88"/>
  </cols>
  <sheetData>
    <row r="1" spans="1:20" ht="15.75" thickBot="1">
      <c r="A1" s="160" t="s">
        <v>679</v>
      </c>
      <c r="S1"/>
      <c r="T1" s="88"/>
    </row>
    <row r="2" spans="1:20" ht="12.75">
      <c r="A2" s="91" t="s">
        <v>674</v>
      </c>
      <c r="B2" s="159" t="s">
        <v>673</v>
      </c>
      <c r="C2" s="158" t="s">
        <v>159</v>
      </c>
      <c r="D2" s="157" t="s">
        <v>672</v>
      </c>
      <c r="E2" s="157" t="s">
        <v>669</v>
      </c>
      <c r="F2" s="156" t="s">
        <v>668</v>
      </c>
      <c r="G2" s="157" t="s">
        <v>678</v>
      </c>
      <c r="H2" s="157" t="s">
        <v>677</v>
      </c>
      <c r="I2" s="158" t="s">
        <v>159</v>
      </c>
      <c r="J2" s="157" t="s">
        <v>671</v>
      </c>
      <c r="K2" s="157" t="s">
        <v>669</v>
      </c>
      <c r="L2" s="156" t="s">
        <v>668</v>
      </c>
      <c r="M2" s="157" t="s">
        <v>678</v>
      </c>
      <c r="N2" s="157" t="s">
        <v>677</v>
      </c>
      <c r="O2" s="158" t="s">
        <v>159</v>
      </c>
      <c r="P2" s="157" t="s">
        <v>670</v>
      </c>
      <c r="Q2" s="157" t="s">
        <v>669</v>
      </c>
      <c r="R2" s="156" t="s">
        <v>668</v>
      </c>
      <c r="S2" s="157" t="s">
        <v>678</v>
      </c>
      <c r="T2" s="156" t="s">
        <v>677</v>
      </c>
    </row>
    <row r="3" spans="1:20">
      <c r="A3" s="155" t="s">
        <v>667</v>
      </c>
      <c r="B3" s="154" t="s">
        <v>667</v>
      </c>
      <c r="C3" s="146"/>
      <c r="D3" s="151" t="s">
        <v>10</v>
      </c>
      <c r="E3" s="151"/>
      <c r="F3" s="153"/>
      <c r="G3" s="151"/>
      <c r="H3" s="151"/>
      <c r="I3" s="152"/>
      <c r="J3" s="151" t="s">
        <v>10</v>
      </c>
      <c r="K3" s="151"/>
      <c r="L3" s="153"/>
      <c r="M3" s="151"/>
      <c r="N3" s="151"/>
      <c r="O3" s="152"/>
      <c r="P3" s="151" t="s">
        <v>10</v>
      </c>
      <c r="Q3" s="150"/>
      <c r="R3" s="149"/>
      <c r="S3" s="150"/>
      <c r="T3" s="163"/>
    </row>
    <row r="4" spans="1:20">
      <c r="A4" s="148">
        <v>450</v>
      </c>
      <c r="B4" s="147">
        <v>400</v>
      </c>
      <c r="C4" s="146" t="s">
        <v>666</v>
      </c>
      <c r="D4" s="145">
        <v>150</v>
      </c>
      <c r="E4" s="144">
        <f t="shared" ref="E4:E16" si="0">D4/((A4*B4)/1000000)</f>
        <v>833.33333333333337</v>
      </c>
      <c r="F4" s="143">
        <f t="shared" ref="F4:F16" si="1">D4/$B4</f>
        <v>0.375</v>
      </c>
      <c r="G4" s="144">
        <f t="shared" ref="G4:G16" si="2">(B4/1000)*3.4</f>
        <v>1.36</v>
      </c>
      <c r="H4" s="144">
        <f t="shared" ref="H4:H16" si="3">G4/((A4*B4)/1000000)</f>
        <v>7.5555555555555562</v>
      </c>
      <c r="I4" s="146" t="s">
        <v>665</v>
      </c>
      <c r="J4" s="145">
        <v>219</v>
      </c>
      <c r="K4" s="144">
        <f t="shared" ref="K4:K16" si="4">J4/((A4*B4)/1000000)</f>
        <v>1216.6666666666667</v>
      </c>
      <c r="L4" s="143">
        <f t="shared" ref="L4:L16" si="5">J4/B4</f>
        <v>0.54749999999999999</v>
      </c>
      <c r="M4" s="144">
        <f t="shared" ref="M4:M16" si="6">(B4/1000)*6.7</f>
        <v>2.68</v>
      </c>
      <c r="N4" s="144">
        <f t="shared" ref="N4:N16" si="7">M4/((A4*B4)/1000000)</f>
        <v>14.888888888888891</v>
      </c>
      <c r="O4" s="146" t="s">
        <v>664</v>
      </c>
      <c r="P4" s="145">
        <v>279</v>
      </c>
      <c r="Q4" s="144">
        <f t="shared" ref="Q4:Q16" si="8">P4/((A4*B4)/1000000)</f>
        <v>1550</v>
      </c>
      <c r="R4" s="143">
        <f t="shared" ref="R4:R16" si="9">P4/B4</f>
        <v>0.69750000000000001</v>
      </c>
      <c r="S4" s="144">
        <f t="shared" ref="S4:S16" si="10">(B4/1000)*6.7</f>
        <v>2.68</v>
      </c>
      <c r="T4" s="162">
        <f t="shared" ref="T4:T16" si="11">S4/((A4*B4)/1000000)</f>
        <v>14.888888888888891</v>
      </c>
    </row>
    <row r="5" spans="1:20">
      <c r="A5" s="148">
        <v>450</v>
      </c>
      <c r="B5" s="147">
        <v>500</v>
      </c>
      <c r="C5" s="146" t="s">
        <v>663</v>
      </c>
      <c r="D5" s="145">
        <v>190</v>
      </c>
      <c r="E5" s="144">
        <f t="shared" si="0"/>
        <v>844.44444444444446</v>
      </c>
      <c r="F5" s="143">
        <f t="shared" si="1"/>
        <v>0.38</v>
      </c>
      <c r="G5" s="144">
        <f t="shared" si="2"/>
        <v>1.7</v>
      </c>
      <c r="H5" s="144">
        <f t="shared" si="3"/>
        <v>7.5555555555555554</v>
      </c>
      <c r="I5" s="146" t="s">
        <v>662</v>
      </c>
      <c r="J5" s="145">
        <v>277</v>
      </c>
      <c r="K5" s="144">
        <f t="shared" si="4"/>
        <v>1231.1111111111111</v>
      </c>
      <c r="L5" s="143">
        <f t="shared" si="5"/>
        <v>0.55400000000000005</v>
      </c>
      <c r="M5" s="144">
        <f t="shared" si="6"/>
        <v>3.35</v>
      </c>
      <c r="N5" s="144">
        <f t="shared" si="7"/>
        <v>14.888888888888889</v>
      </c>
      <c r="O5" s="146" t="s">
        <v>661</v>
      </c>
      <c r="P5" s="145">
        <v>353</v>
      </c>
      <c r="Q5" s="144">
        <f t="shared" si="8"/>
        <v>1568.8888888888889</v>
      </c>
      <c r="R5" s="143">
        <f t="shared" si="9"/>
        <v>0.70599999999999996</v>
      </c>
      <c r="S5" s="144">
        <f t="shared" si="10"/>
        <v>3.35</v>
      </c>
      <c r="T5" s="162">
        <f t="shared" si="11"/>
        <v>14.888888888888889</v>
      </c>
    </row>
    <row r="6" spans="1:20">
      <c r="A6" s="148">
        <v>450</v>
      </c>
      <c r="B6" s="147">
        <v>600</v>
      </c>
      <c r="C6" s="146" t="s">
        <v>660</v>
      </c>
      <c r="D6" s="145">
        <v>229</v>
      </c>
      <c r="E6" s="144">
        <f t="shared" si="0"/>
        <v>848.14814814814804</v>
      </c>
      <c r="F6" s="143">
        <f t="shared" si="1"/>
        <v>0.38166666666666665</v>
      </c>
      <c r="G6" s="144">
        <f t="shared" si="2"/>
        <v>2.04</v>
      </c>
      <c r="H6" s="144">
        <f t="shared" si="3"/>
        <v>7.5555555555555554</v>
      </c>
      <c r="I6" s="146" t="s">
        <v>659</v>
      </c>
      <c r="J6" s="145">
        <v>335</v>
      </c>
      <c r="K6" s="144">
        <f t="shared" si="4"/>
        <v>1240.7407407407406</v>
      </c>
      <c r="L6" s="143">
        <f t="shared" si="5"/>
        <v>0.55833333333333335</v>
      </c>
      <c r="M6" s="144">
        <f t="shared" si="6"/>
        <v>4.0199999999999996</v>
      </c>
      <c r="N6" s="144">
        <f t="shared" si="7"/>
        <v>14.888888888888886</v>
      </c>
      <c r="O6" s="146" t="s">
        <v>658</v>
      </c>
      <c r="P6" s="145">
        <v>427</v>
      </c>
      <c r="Q6" s="144">
        <f t="shared" si="8"/>
        <v>1581.4814814814813</v>
      </c>
      <c r="R6" s="143">
        <f t="shared" si="9"/>
        <v>0.71166666666666667</v>
      </c>
      <c r="S6" s="144">
        <f t="shared" si="10"/>
        <v>4.0199999999999996</v>
      </c>
      <c r="T6" s="162">
        <f t="shared" si="11"/>
        <v>14.888888888888886</v>
      </c>
    </row>
    <row r="7" spans="1:20">
      <c r="A7" s="148">
        <v>450</v>
      </c>
      <c r="B7" s="147">
        <v>700</v>
      </c>
      <c r="C7" s="146" t="s">
        <v>657</v>
      </c>
      <c r="D7" s="145">
        <v>268</v>
      </c>
      <c r="E7" s="144">
        <f t="shared" si="0"/>
        <v>850.79365079365084</v>
      </c>
      <c r="F7" s="143">
        <f t="shared" si="1"/>
        <v>0.38285714285714284</v>
      </c>
      <c r="G7" s="144">
        <f t="shared" si="2"/>
        <v>2.38</v>
      </c>
      <c r="H7" s="144">
        <f t="shared" si="3"/>
        <v>7.5555555555555554</v>
      </c>
      <c r="I7" s="146" t="s">
        <v>656</v>
      </c>
      <c r="J7" s="145">
        <v>392</v>
      </c>
      <c r="K7" s="144">
        <f t="shared" si="4"/>
        <v>1244.4444444444443</v>
      </c>
      <c r="L7" s="143">
        <f t="shared" si="5"/>
        <v>0.56000000000000005</v>
      </c>
      <c r="M7" s="144">
        <f t="shared" si="6"/>
        <v>4.6899999999999995</v>
      </c>
      <c r="N7" s="144">
        <f t="shared" si="7"/>
        <v>14.888888888888888</v>
      </c>
      <c r="O7" s="146" t="s">
        <v>655</v>
      </c>
      <c r="P7" s="145">
        <v>499</v>
      </c>
      <c r="Q7" s="144">
        <f t="shared" si="8"/>
        <v>1584.1269841269841</v>
      </c>
      <c r="R7" s="143">
        <f t="shared" si="9"/>
        <v>0.71285714285714286</v>
      </c>
      <c r="S7" s="144">
        <f t="shared" si="10"/>
        <v>4.6899999999999995</v>
      </c>
      <c r="T7" s="162">
        <f t="shared" si="11"/>
        <v>14.888888888888888</v>
      </c>
    </row>
    <row r="8" spans="1:20">
      <c r="A8" s="148">
        <v>450</v>
      </c>
      <c r="B8" s="147">
        <v>800</v>
      </c>
      <c r="C8" s="146" t="s">
        <v>654</v>
      </c>
      <c r="D8" s="145">
        <v>308</v>
      </c>
      <c r="E8" s="144">
        <f t="shared" si="0"/>
        <v>855.55555555555554</v>
      </c>
      <c r="F8" s="143">
        <f t="shared" si="1"/>
        <v>0.38500000000000001</v>
      </c>
      <c r="G8" s="144">
        <f t="shared" si="2"/>
        <v>2.72</v>
      </c>
      <c r="H8" s="144">
        <f t="shared" si="3"/>
        <v>7.5555555555555562</v>
      </c>
      <c r="I8" s="146" t="s">
        <v>653</v>
      </c>
      <c r="J8" s="145">
        <v>450</v>
      </c>
      <c r="K8" s="144">
        <f t="shared" si="4"/>
        <v>1250</v>
      </c>
      <c r="L8" s="143">
        <f t="shared" si="5"/>
        <v>0.5625</v>
      </c>
      <c r="M8" s="144">
        <f t="shared" si="6"/>
        <v>5.36</v>
      </c>
      <c r="N8" s="144">
        <f t="shared" si="7"/>
        <v>14.888888888888891</v>
      </c>
      <c r="O8" s="146" t="s">
        <v>652</v>
      </c>
      <c r="P8" s="145">
        <v>573</v>
      </c>
      <c r="Q8" s="144">
        <f t="shared" si="8"/>
        <v>1591.6666666666667</v>
      </c>
      <c r="R8" s="143">
        <f t="shared" si="9"/>
        <v>0.71625000000000005</v>
      </c>
      <c r="S8" s="144">
        <f t="shared" si="10"/>
        <v>5.36</v>
      </c>
      <c r="T8" s="162">
        <f t="shared" si="11"/>
        <v>14.888888888888891</v>
      </c>
    </row>
    <row r="9" spans="1:20">
      <c r="A9" s="148">
        <v>450</v>
      </c>
      <c r="B9" s="147">
        <v>900</v>
      </c>
      <c r="C9" s="146" t="s">
        <v>651</v>
      </c>
      <c r="D9" s="145">
        <v>347</v>
      </c>
      <c r="E9" s="144">
        <f t="shared" si="0"/>
        <v>856.79012345679007</v>
      </c>
      <c r="F9" s="143">
        <f t="shared" si="1"/>
        <v>0.38555555555555554</v>
      </c>
      <c r="G9" s="144">
        <f t="shared" si="2"/>
        <v>3.06</v>
      </c>
      <c r="H9" s="144">
        <f t="shared" si="3"/>
        <v>7.5555555555555554</v>
      </c>
      <c r="I9" s="146" t="s">
        <v>650</v>
      </c>
      <c r="J9" s="145">
        <v>507</v>
      </c>
      <c r="K9" s="144">
        <f t="shared" si="4"/>
        <v>1251.8518518518517</v>
      </c>
      <c r="L9" s="143">
        <f t="shared" si="5"/>
        <v>0.56333333333333335</v>
      </c>
      <c r="M9" s="144">
        <f t="shared" si="6"/>
        <v>6.03</v>
      </c>
      <c r="N9" s="144">
        <f t="shared" si="7"/>
        <v>14.888888888888889</v>
      </c>
      <c r="O9" s="146" t="s">
        <v>649</v>
      </c>
      <c r="P9" s="145">
        <v>646</v>
      </c>
      <c r="Q9" s="144">
        <f t="shared" si="8"/>
        <v>1595.0617283950617</v>
      </c>
      <c r="R9" s="143">
        <f t="shared" si="9"/>
        <v>0.71777777777777774</v>
      </c>
      <c r="S9" s="144">
        <f t="shared" si="10"/>
        <v>6.03</v>
      </c>
      <c r="T9" s="162">
        <f t="shared" si="11"/>
        <v>14.888888888888889</v>
      </c>
    </row>
    <row r="10" spans="1:20">
      <c r="A10" s="148">
        <v>450</v>
      </c>
      <c r="B10" s="147">
        <v>1000</v>
      </c>
      <c r="C10" s="146" t="s">
        <v>648</v>
      </c>
      <c r="D10" s="145">
        <v>387</v>
      </c>
      <c r="E10" s="144">
        <f t="shared" si="0"/>
        <v>860</v>
      </c>
      <c r="F10" s="143">
        <f t="shared" si="1"/>
        <v>0.38700000000000001</v>
      </c>
      <c r="G10" s="144">
        <f t="shared" si="2"/>
        <v>3.4</v>
      </c>
      <c r="H10" s="144">
        <f t="shared" si="3"/>
        <v>7.5555555555555554</v>
      </c>
      <c r="I10" s="146" t="s">
        <v>648</v>
      </c>
      <c r="J10" s="145">
        <v>564</v>
      </c>
      <c r="K10" s="144">
        <f t="shared" si="4"/>
        <v>1253.3333333333333</v>
      </c>
      <c r="L10" s="143">
        <f t="shared" si="5"/>
        <v>0.56399999999999995</v>
      </c>
      <c r="M10" s="144">
        <f t="shared" si="6"/>
        <v>6.7</v>
      </c>
      <c r="N10" s="144">
        <f t="shared" si="7"/>
        <v>14.888888888888889</v>
      </c>
      <c r="O10" s="146" t="s">
        <v>647</v>
      </c>
      <c r="P10" s="145">
        <v>720</v>
      </c>
      <c r="Q10" s="144">
        <f t="shared" si="8"/>
        <v>1600</v>
      </c>
      <c r="R10" s="143">
        <f t="shared" si="9"/>
        <v>0.72</v>
      </c>
      <c r="S10" s="144">
        <f t="shared" si="10"/>
        <v>6.7</v>
      </c>
      <c r="T10" s="162">
        <f t="shared" si="11"/>
        <v>14.888888888888889</v>
      </c>
    </row>
    <row r="11" spans="1:20">
      <c r="A11" s="148">
        <v>450</v>
      </c>
      <c r="B11" s="147">
        <v>1100</v>
      </c>
      <c r="C11" s="146" t="s">
        <v>646</v>
      </c>
      <c r="D11" s="145">
        <v>426</v>
      </c>
      <c r="E11" s="144">
        <f t="shared" si="0"/>
        <v>860.60606060606062</v>
      </c>
      <c r="F11" s="143">
        <f t="shared" si="1"/>
        <v>0.38727272727272727</v>
      </c>
      <c r="G11" s="144">
        <f t="shared" si="2"/>
        <v>3.74</v>
      </c>
      <c r="H11" s="144">
        <f t="shared" si="3"/>
        <v>7.5555555555555562</v>
      </c>
      <c r="I11" s="146" t="s">
        <v>646</v>
      </c>
      <c r="J11" s="145">
        <v>622</v>
      </c>
      <c r="K11" s="144">
        <f t="shared" si="4"/>
        <v>1256.5656565656566</v>
      </c>
      <c r="L11" s="143">
        <f t="shared" si="5"/>
        <v>0.56545454545454543</v>
      </c>
      <c r="M11" s="144">
        <f t="shared" si="6"/>
        <v>7.370000000000001</v>
      </c>
      <c r="N11" s="144">
        <f t="shared" si="7"/>
        <v>14.888888888888891</v>
      </c>
      <c r="O11" s="146" t="s">
        <v>645</v>
      </c>
      <c r="P11" s="145">
        <v>793</v>
      </c>
      <c r="Q11" s="144">
        <f t="shared" si="8"/>
        <v>1602.0202020202021</v>
      </c>
      <c r="R11" s="143">
        <f t="shared" si="9"/>
        <v>0.72090909090909094</v>
      </c>
      <c r="S11" s="144">
        <f t="shared" si="10"/>
        <v>7.370000000000001</v>
      </c>
      <c r="T11" s="162">
        <f t="shared" si="11"/>
        <v>14.888888888888891</v>
      </c>
    </row>
    <row r="12" spans="1:20">
      <c r="A12" s="148">
        <v>450</v>
      </c>
      <c r="B12" s="147">
        <v>1200</v>
      </c>
      <c r="C12" s="146" t="s">
        <v>644</v>
      </c>
      <c r="D12" s="145">
        <v>465</v>
      </c>
      <c r="E12" s="144">
        <f t="shared" si="0"/>
        <v>861.11111111111109</v>
      </c>
      <c r="F12" s="143">
        <f t="shared" si="1"/>
        <v>0.38750000000000001</v>
      </c>
      <c r="G12" s="144">
        <f t="shared" si="2"/>
        <v>4.08</v>
      </c>
      <c r="H12" s="144">
        <f t="shared" si="3"/>
        <v>7.5555555555555554</v>
      </c>
      <c r="I12" s="146" t="s">
        <v>644</v>
      </c>
      <c r="J12" s="145">
        <v>679</v>
      </c>
      <c r="K12" s="144">
        <f t="shared" si="4"/>
        <v>1257.4074074074074</v>
      </c>
      <c r="L12" s="143">
        <f t="shared" si="5"/>
        <v>0.5658333333333333</v>
      </c>
      <c r="M12" s="144">
        <f t="shared" si="6"/>
        <v>8.0399999999999991</v>
      </c>
      <c r="N12" s="144">
        <f t="shared" si="7"/>
        <v>14.888888888888886</v>
      </c>
      <c r="O12" s="146" t="s">
        <v>643</v>
      </c>
      <c r="P12" s="145">
        <v>866</v>
      </c>
      <c r="Q12" s="144">
        <f t="shared" si="8"/>
        <v>1603.7037037037037</v>
      </c>
      <c r="R12" s="143">
        <f t="shared" si="9"/>
        <v>0.72166666666666668</v>
      </c>
      <c r="S12" s="144">
        <f t="shared" si="10"/>
        <v>8.0399999999999991</v>
      </c>
      <c r="T12" s="162">
        <f t="shared" si="11"/>
        <v>14.888888888888886</v>
      </c>
    </row>
    <row r="13" spans="1:20">
      <c r="A13" s="148">
        <v>450</v>
      </c>
      <c r="B13" s="147">
        <v>1400</v>
      </c>
      <c r="C13" s="146" t="s">
        <v>642</v>
      </c>
      <c r="D13" s="145">
        <v>544</v>
      </c>
      <c r="E13" s="144">
        <f t="shared" si="0"/>
        <v>863.49206349206349</v>
      </c>
      <c r="F13" s="143">
        <f t="shared" si="1"/>
        <v>0.38857142857142857</v>
      </c>
      <c r="G13" s="144">
        <f t="shared" si="2"/>
        <v>4.76</v>
      </c>
      <c r="H13" s="144">
        <f t="shared" si="3"/>
        <v>7.5555555555555554</v>
      </c>
      <c r="I13" s="146" t="s">
        <v>642</v>
      </c>
      <c r="J13" s="145">
        <v>794</v>
      </c>
      <c r="K13" s="144">
        <f t="shared" si="4"/>
        <v>1260.3174603174602</v>
      </c>
      <c r="L13" s="143">
        <f t="shared" si="5"/>
        <v>0.56714285714285717</v>
      </c>
      <c r="M13" s="144">
        <f t="shared" si="6"/>
        <v>9.379999999999999</v>
      </c>
      <c r="N13" s="144">
        <f t="shared" si="7"/>
        <v>14.888888888888888</v>
      </c>
      <c r="O13" s="146" t="s">
        <v>641</v>
      </c>
      <c r="P13" s="145">
        <v>1013</v>
      </c>
      <c r="Q13" s="144">
        <f t="shared" si="8"/>
        <v>1607.936507936508</v>
      </c>
      <c r="R13" s="143">
        <f t="shared" si="9"/>
        <v>0.72357142857142853</v>
      </c>
      <c r="S13" s="144">
        <f t="shared" si="10"/>
        <v>9.379999999999999</v>
      </c>
      <c r="T13" s="162">
        <f t="shared" si="11"/>
        <v>14.888888888888888</v>
      </c>
    </row>
    <row r="14" spans="1:20">
      <c r="A14" s="148">
        <v>450</v>
      </c>
      <c r="B14" s="147">
        <v>1600</v>
      </c>
      <c r="C14" s="146" t="s">
        <v>640</v>
      </c>
      <c r="D14" s="145">
        <v>623</v>
      </c>
      <c r="E14" s="144">
        <f t="shared" si="0"/>
        <v>865.27777777777783</v>
      </c>
      <c r="F14" s="143">
        <f t="shared" si="1"/>
        <v>0.38937500000000003</v>
      </c>
      <c r="G14" s="144">
        <f t="shared" si="2"/>
        <v>5.44</v>
      </c>
      <c r="H14" s="144">
        <f t="shared" si="3"/>
        <v>7.5555555555555562</v>
      </c>
      <c r="I14" s="146" t="s">
        <v>640</v>
      </c>
      <c r="J14" s="145">
        <v>910</v>
      </c>
      <c r="K14" s="144">
        <f t="shared" si="4"/>
        <v>1263.8888888888889</v>
      </c>
      <c r="L14" s="143">
        <f t="shared" si="5"/>
        <v>0.56874999999999998</v>
      </c>
      <c r="M14" s="144">
        <f t="shared" si="6"/>
        <v>10.72</v>
      </c>
      <c r="N14" s="144">
        <f t="shared" si="7"/>
        <v>14.888888888888891</v>
      </c>
      <c r="O14" s="146" t="s">
        <v>639</v>
      </c>
      <c r="P14" s="145">
        <v>1160</v>
      </c>
      <c r="Q14" s="144">
        <f t="shared" si="8"/>
        <v>1611.1111111111111</v>
      </c>
      <c r="R14" s="143">
        <f t="shared" si="9"/>
        <v>0.72499999999999998</v>
      </c>
      <c r="S14" s="144">
        <f t="shared" si="10"/>
        <v>10.72</v>
      </c>
      <c r="T14" s="162">
        <f t="shared" si="11"/>
        <v>14.888888888888891</v>
      </c>
    </row>
    <row r="15" spans="1:20">
      <c r="A15" s="148">
        <v>450</v>
      </c>
      <c r="B15" s="147">
        <v>1800</v>
      </c>
      <c r="C15" s="146" t="s">
        <v>638</v>
      </c>
      <c r="D15" s="145">
        <v>702</v>
      </c>
      <c r="E15" s="144">
        <f t="shared" si="0"/>
        <v>866.66666666666663</v>
      </c>
      <c r="F15" s="143">
        <f t="shared" si="1"/>
        <v>0.39</v>
      </c>
      <c r="G15" s="144">
        <f t="shared" si="2"/>
        <v>6.12</v>
      </c>
      <c r="H15" s="144">
        <f t="shared" si="3"/>
        <v>7.5555555555555554</v>
      </c>
      <c r="I15" s="146" t="s">
        <v>638</v>
      </c>
      <c r="J15" s="145">
        <v>1025</v>
      </c>
      <c r="K15" s="144">
        <f t="shared" si="4"/>
        <v>1265.4320987654321</v>
      </c>
      <c r="L15" s="143">
        <f t="shared" si="5"/>
        <v>0.56944444444444442</v>
      </c>
      <c r="M15" s="144">
        <f t="shared" si="6"/>
        <v>12.06</v>
      </c>
      <c r="N15" s="144">
        <f t="shared" si="7"/>
        <v>14.888888888888889</v>
      </c>
      <c r="O15" s="146" t="s">
        <v>637</v>
      </c>
      <c r="P15" s="145">
        <v>1306</v>
      </c>
      <c r="Q15" s="144">
        <f t="shared" si="8"/>
        <v>1612.3456790123455</v>
      </c>
      <c r="R15" s="143">
        <f t="shared" si="9"/>
        <v>0.72555555555555551</v>
      </c>
      <c r="S15" s="144">
        <f t="shared" si="10"/>
        <v>12.06</v>
      </c>
      <c r="T15" s="162">
        <f t="shared" si="11"/>
        <v>14.888888888888889</v>
      </c>
    </row>
    <row r="16" spans="1:20">
      <c r="A16" s="148">
        <v>450</v>
      </c>
      <c r="B16" s="147">
        <v>2000</v>
      </c>
      <c r="C16" s="146" t="s">
        <v>636</v>
      </c>
      <c r="D16" s="145">
        <v>781</v>
      </c>
      <c r="E16" s="144">
        <f t="shared" si="0"/>
        <v>867.77777777777771</v>
      </c>
      <c r="F16" s="143">
        <f t="shared" si="1"/>
        <v>0.39050000000000001</v>
      </c>
      <c r="G16" s="144">
        <f t="shared" si="2"/>
        <v>6.8</v>
      </c>
      <c r="H16" s="144">
        <f t="shared" si="3"/>
        <v>7.5555555555555554</v>
      </c>
      <c r="I16" s="146" t="s">
        <v>636</v>
      </c>
      <c r="J16" s="145">
        <v>1140</v>
      </c>
      <c r="K16" s="144">
        <f t="shared" si="4"/>
        <v>1266.6666666666667</v>
      </c>
      <c r="L16" s="143">
        <f t="shared" si="5"/>
        <v>0.56999999999999995</v>
      </c>
      <c r="M16" s="144">
        <f t="shared" si="6"/>
        <v>13.4</v>
      </c>
      <c r="N16" s="144">
        <f t="shared" si="7"/>
        <v>14.888888888888889</v>
      </c>
      <c r="O16" s="146" t="s">
        <v>635</v>
      </c>
      <c r="P16" s="145">
        <v>1453</v>
      </c>
      <c r="Q16" s="144">
        <f t="shared" si="8"/>
        <v>1614.4444444444443</v>
      </c>
      <c r="R16" s="143">
        <f t="shared" si="9"/>
        <v>0.72650000000000003</v>
      </c>
      <c r="S16" s="144">
        <f t="shared" si="10"/>
        <v>13.4</v>
      </c>
      <c r="T16" s="162">
        <f t="shared" si="11"/>
        <v>14.888888888888889</v>
      </c>
    </row>
    <row r="17" spans="1:20">
      <c r="A17" s="148"/>
      <c r="B17" s="147"/>
      <c r="C17" s="146"/>
      <c r="D17" s="145"/>
      <c r="E17" s="144"/>
      <c r="F17" s="143"/>
      <c r="G17" s="144"/>
      <c r="H17" s="144"/>
      <c r="I17" s="146"/>
      <c r="J17" s="145"/>
      <c r="K17" s="144"/>
      <c r="L17" s="143"/>
      <c r="M17" s="144"/>
      <c r="N17" s="144"/>
      <c r="O17" s="146"/>
      <c r="P17" s="145"/>
      <c r="Q17" s="144"/>
      <c r="R17" s="143"/>
      <c r="S17" s="144"/>
      <c r="T17" s="162"/>
    </row>
    <row r="18" spans="1:20">
      <c r="A18" s="148">
        <v>600</v>
      </c>
      <c r="B18" s="147">
        <v>400</v>
      </c>
      <c r="C18" s="146" t="s">
        <v>634</v>
      </c>
      <c r="D18" s="145">
        <v>190</v>
      </c>
      <c r="E18" s="144">
        <f t="shared" ref="E18:E30" si="12">D18/((A18*B18)/1000000)</f>
        <v>791.66666666666674</v>
      </c>
      <c r="F18" s="143">
        <f t="shared" ref="F18:F30" si="13">D18/$B18</f>
        <v>0.47499999999999998</v>
      </c>
      <c r="G18" s="144">
        <f t="shared" ref="G18:G30" si="14">(B18/1000)*4.1</f>
        <v>1.64</v>
      </c>
      <c r="H18" s="144">
        <f t="shared" ref="H18:H30" si="15">G18/((A18*B18)/1000000)</f>
        <v>6.833333333333333</v>
      </c>
      <c r="I18" s="146" t="s">
        <v>634</v>
      </c>
      <c r="J18" s="145">
        <v>277</v>
      </c>
      <c r="K18" s="144">
        <f t="shared" ref="K18:K30" si="16">J18/((A18*B18)/1000000)</f>
        <v>1154.1666666666667</v>
      </c>
      <c r="L18" s="143">
        <f t="shared" ref="L18:L30" si="17">J18/B18</f>
        <v>0.6925</v>
      </c>
      <c r="M18" s="144">
        <f t="shared" ref="M18:M30" si="18">(B18/1000)*8.3</f>
        <v>3.3200000000000003</v>
      </c>
      <c r="N18" s="144">
        <f t="shared" ref="N18:N30" si="19">M18/((A18*B18)/1000000)</f>
        <v>13.833333333333336</v>
      </c>
      <c r="O18" s="146" t="s">
        <v>633</v>
      </c>
      <c r="P18" s="145">
        <v>351</v>
      </c>
      <c r="Q18" s="144">
        <f t="shared" ref="Q18:Q30" si="20">P18/((A18*B18)/1000000)</f>
        <v>1462.5</v>
      </c>
      <c r="R18" s="143">
        <f t="shared" ref="R18:R30" si="21">P18/B18</f>
        <v>0.87749999999999995</v>
      </c>
      <c r="S18" s="144">
        <f t="shared" ref="S18:S30" si="22">(B18/1000)*8.3</f>
        <v>3.3200000000000003</v>
      </c>
      <c r="T18" s="162">
        <f t="shared" ref="T18:T30" si="23">S18/((A18*B18)/1000000)</f>
        <v>13.833333333333336</v>
      </c>
    </row>
    <row r="19" spans="1:20">
      <c r="A19" s="148">
        <v>600</v>
      </c>
      <c r="B19" s="147">
        <v>500</v>
      </c>
      <c r="C19" s="146" t="s">
        <v>632</v>
      </c>
      <c r="D19" s="145">
        <v>241</v>
      </c>
      <c r="E19" s="144">
        <f t="shared" si="12"/>
        <v>803.33333333333337</v>
      </c>
      <c r="F19" s="143">
        <f t="shared" si="13"/>
        <v>0.48199999999999998</v>
      </c>
      <c r="G19" s="144">
        <f t="shared" si="14"/>
        <v>2.0499999999999998</v>
      </c>
      <c r="H19" s="144">
        <f t="shared" si="15"/>
        <v>6.833333333333333</v>
      </c>
      <c r="I19" s="146" t="s">
        <v>632</v>
      </c>
      <c r="J19" s="145">
        <v>350</v>
      </c>
      <c r="K19" s="144">
        <f t="shared" si="16"/>
        <v>1166.6666666666667</v>
      </c>
      <c r="L19" s="143">
        <f t="shared" si="17"/>
        <v>0.7</v>
      </c>
      <c r="M19" s="144">
        <f t="shared" si="18"/>
        <v>4.1500000000000004</v>
      </c>
      <c r="N19" s="144">
        <f t="shared" si="19"/>
        <v>13.833333333333336</v>
      </c>
      <c r="O19" s="146" t="s">
        <v>631</v>
      </c>
      <c r="P19" s="145">
        <v>444</v>
      </c>
      <c r="Q19" s="144">
        <f t="shared" si="20"/>
        <v>1480</v>
      </c>
      <c r="R19" s="143">
        <f t="shared" si="21"/>
        <v>0.88800000000000001</v>
      </c>
      <c r="S19" s="144">
        <f t="shared" si="22"/>
        <v>4.1500000000000004</v>
      </c>
      <c r="T19" s="162">
        <f t="shared" si="23"/>
        <v>13.833333333333336</v>
      </c>
    </row>
    <row r="20" spans="1:20">
      <c r="A20" s="148">
        <v>600</v>
      </c>
      <c r="B20" s="147">
        <v>600</v>
      </c>
      <c r="C20" s="146" t="s">
        <v>630</v>
      </c>
      <c r="D20" s="145">
        <v>291</v>
      </c>
      <c r="E20" s="144">
        <f t="shared" si="12"/>
        <v>808.33333333333337</v>
      </c>
      <c r="F20" s="143">
        <f t="shared" si="13"/>
        <v>0.48499999999999999</v>
      </c>
      <c r="G20" s="144">
        <f t="shared" si="14"/>
        <v>2.4599999999999995</v>
      </c>
      <c r="H20" s="144">
        <f t="shared" si="15"/>
        <v>6.8333333333333321</v>
      </c>
      <c r="I20" s="146" t="s">
        <v>630</v>
      </c>
      <c r="J20" s="145">
        <v>423</v>
      </c>
      <c r="K20" s="144">
        <f t="shared" si="16"/>
        <v>1175</v>
      </c>
      <c r="L20" s="143">
        <f t="shared" si="17"/>
        <v>0.70499999999999996</v>
      </c>
      <c r="M20" s="144">
        <f t="shared" si="18"/>
        <v>4.9800000000000004</v>
      </c>
      <c r="N20" s="144">
        <f t="shared" si="19"/>
        <v>13.833333333333336</v>
      </c>
      <c r="O20" s="146" t="s">
        <v>629</v>
      </c>
      <c r="P20" s="145">
        <v>536</v>
      </c>
      <c r="Q20" s="144">
        <f t="shared" si="20"/>
        <v>1488.8888888888889</v>
      </c>
      <c r="R20" s="143">
        <f t="shared" si="21"/>
        <v>0.89333333333333331</v>
      </c>
      <c r="S20" s="144">
        <f t="shared" si="22"/>
        <v>4.9800000000000004</v>
      </c>
      <c r="T20" s="162">
        <f t="shared" si="23"/>
        <v>13.833333333333336</v>
      </c>
    </row>
    <row r="21" spans="1:20">
      <c r="A21" s="148">
        <v>600</v>
      </c>
      <c r="B21" s="147">
        <v>700</v>
      </c>
      <c r="C21" s="146" t="s">
        <v>628</v>
      </c>
      <c r="D21" s="145">
        <v>341</v>
      </c>
      <c r="E21" s="144">
        <f t="shared" si="12"/>
        <v>811.90476190476193</v>
      </c>
      <c r="F21" s="143">
        <f t="shared" si="13"/>
        <v>0.48714285714285716</v>
      </c>
      <c r="G21" s="144">
        <f t="shared" si="14"/>
        <v>2.8699999999999997</v>
      </c>
      <c r="H21" s="144">
        <f t="shared" si="15"/>
        <v>6.833333333333333</v>
      </c>
      <c r="I21" s="146" t="s">
        <v>628</v>
      </c>
      <c r="J21" s="145">
        <v>495</v>
      </c>
      <c r="K21" s="144">
        <f t="shared" si="16"/>
        <v>1178.5714285714287</v>
      </c>
      <c r="L21" s="143">
        <f t="shared" si="17"/>
        <v>0.70714285714285718</v>
      </c>
      <c r="M21" s="144">
        <f t="shared" si="18"/>
        <v>5.8100000000000005</v>
      </c>
      <c r="N21" s="144">
        <f t="shared" si="19"/>
        <v>13.833333333333336</v>
      </c>
      <c r="O21" s="146" t="s">
        <v>627</v>
      </c>
      <c r="P21" s="145">
        <v>628</v>
      </c>
      <c r="Q21" s="144">
        <f t="shared" si="20"/>
        <v>1495.2380952380952</v>
      </c>
      <c r="R21" s="143">
        <f t="shared" si="21"/>
        <v>0.89714285714285713</v>
      </c>
      <c r="S21" s="144">
        <f t="shared" si="22"/>
        <v>5.8100000000000005</v>
      </c>
      <c r="T21" s="162">
        <f t="shared" si="23"/>
        <v>13.833333333333336</v>
      </c>
    </row>
    <row r="22" spans="1:20">
      <c r="A22" s="148">
        <v>600</v>
      </c>
      <c r="B22" s="147">
        <v>800</v>
      </c>
      <c r="C22" s="146" t="s">
        <v>626</v>
      </c>
      <c r="D22" s="145">
        <v>391</v>
      </c>
      <c r="E22" s="144">
        <f t="shared" si="12"/>
        <v>814.58333333333337</v>
      </c>
      <c r="F22" s="143">
        <f t="shared" si="13"/>
        <v>0.48875000000000002</v>
      </c>
      <c r="G22" s="144">
        <f t="shared" si="14"/>
        <v>3.28</v>
      </c>
      <c r="H22" s="144">
        <f t="shared" si="15"/>
        <v>6.833333333333333</v>
      </c>
      <c r="I22" s="146" t="s">
        <v>626</v>
      </c>
      <c r="J22" s="145">
        <v>568</v>
      </c>
      <c r="K22" s="144">
        <f t="shared" si="16"/>
        <v>1183.3333333333335</v>
      </c>
      <c r="L22" s="143">
        <f t="shared" si="17"/>
        <v>0.71</v>
      </c>
      <c r="M22" s="144">
        <f t="shared" si="18"/>
        <v>6.6400000000000006</v>
      </c>
      <c r="N22" s="144">
        <f t="shared" si="19"/>
        <v>13.833333333333336</v>
      </c>
      <c r="O22" s="146" t="s">
        <v>625</v>
      </c>
      <c r="P22" s="145">
        <v>721</v>
      </c>
      <c r="Q22" s="144">
        <f t="shared" si="20"/>
        <v>1502.0833333333335</v>
      </c>
      <c r="R22" s="143">
        <f t="shared" si="21"/>
        <v>0.90125</v>
      </c>
      <c r="S22" s="144">
        <f t="shared" si="22"/>
        <v>6.6400000000000006</v>
      </c>
      <c r="T22" s="162">
        <f t="shared" si="23"/>
        <v>13.833333333333336</v>
      </c>
    </row>
    <row r="23" spans="1:20">
      <c r="A23" s="148">
        <v>600</v>
      </c>
      <c r="B23" s="147">
        <v>900</v>
      </c>
      <c r="C23" s="146" t="s">
        <v>624</v>
      </c>
      <c r="D23" s="145">
        <v>441</v>
      </c>
      <c r="E23" s="144">
        <f t="shared" si="12"/>
        <v>816.66666666666663</v>
      </c>
      <c r="F23" s="143">
        <f t="shared" si="13"/>
        <v>0.49</v>
      </c>
      <c r="G23" s="144">
        <f t="shared" si="14"/>
        <v>3.69</v>
      </c>
      <c r="H23" s="144">
        <f t="shared" si="15"/>
        <v>6.833333333333333</v>
      </c>
      <c r="I23" s="146" t="s">
        <v>624</v>
      </c>
      <c r="J23" s="145">
        <v>640</v>
      </c>
      <c r="K23" s="144">
        <f t="shared" si="16"/>
        <v>1185.1851851851852</v>
      </c>
      <c r="L23" s="143">
        <f t="shared" si="17"/>
        <v>0.71111111111111114</v>
      </c>
      <c r="M23" s="144">
        <f t="shared" si="18"/>
        <v>7.4700000000000006</v>
      </c>
      <c r="N23" s="144">
        <f t="shared" si="19"/>
        <v>13.833333333333334</v>
      </c>
      <c r="O23" s="146" t="s">
        <v>623</v>
      </c>
      <c r="P23" s="145">
        <v>812</v>
      </c>
      <c r="Q23" s="144">
        <f t="shared" si="20"/>
        <v>1503.7037037037037</v>
      </c>
      <c r="R23" s="143">
        <f t="shared" si="21"/>
        <v>0.90222222222222226</v>
      </c>
      <c r="S23" s="144">
        <f t="shared" si="22"/>
        <v>7.4700000000000006</v>
      </c>
      <c r="T23" s="162">
        <f t="shared" si="23"/>
        <v>13.833333333333334</v>
      </c>
    </row>
    <row r="24" spans="1:20">
      <c r="A24" s="148">
        <v>600</v>
      </c>
      <c r="B24" s="147">
        <v>1000</v>
      </c>
      <c r="C24" s="146" t="s">
        <v>622</v>
      </c>
      <c r="D24" s="145">
        <v>491</v>
      </c>
      <c r="E24" s="144">
        <f t="shared" si="12"/>
        <v>818.33333333333337</v>
      </c>
      <c r="F24" s="143">
        <f t="shared" si="13"/>
        <v>0.49099999999999999</v>
      </c>
      <c r="G24" s="144">
        <f t="shared" si="14"/>
        <v>4.0999999999999996</v>
      </c>
      <c r="H24" s="144">
        <f t="shared" si="15"/>
        <v>6.833333333333333</v>
      </c>
      <c r="I24" s="146" t="s">
        <v>622</v>
      </c>
      <c r="J24" s="145">
        <v>713</v>
      </c>
      <c r="K24" s="144">
        <f t="shared" si="16"/>
        <v>1188.3333333333335</v>
      </c>
      <c r="L24" s="143">
        <f t="shared" si="17"/>
        <v>0.71299999999999997</v>
      </c>
      <c r="M24" s="144">
        <f t="shared" si="18"/>
        <v>8.3000000000000007</v>
      </c>
      <c r="N24" s="144">
        <f t="shared" si="19"/>
        <v>13.833333333333336</v>
      </c>
      <c r="O24" s="146" t="s">
        <v>621</v>
      </c>
      <c r="P24" s="145">
        <v>905</v>
      </c>
      <c r="Q24" s="144">
        <f t="shared" si="20"/>
        <v>1508.3333333333335</v>
      </c>
      <c r="R24" s="143">
        <f t="shared" si="21"/>
        <v>0.90500000000000003</v>
      </c>
      <c r="S24" s="144">
        <f t="shared" si="22"/>
        <v>8.3000000000000007</v>
      </c>
      <c r="T24" s="162">
        <f t="shared" si="23"/>
        <v>13.833333333333336</v>
      </c>
    </row>
    <row r="25" spans="1:20">
      <c r="A25" s="148">
        <v>600</v>
      </c>
      <c r="B25" s="147">
        <v>1100</v>
      </c>
      <c r="C25" s="146" t="s">
        <v>620</v>
      </c>
      <c r="D25" s="145">
        <v>541</v>
      </c>
      <c r="E25" s="144">
        <f t="shared" si="12"/>
        <v>819.69696969696963</v>
      </c>
      <c r="F25" s="143">
        <f t="shared" si="13"/>
        <v>0.49181818181818182</v>
      </c>
      <c r="G25" s="144">
        <f t="shared" si="14"/>
        <v>4.51</v>
      </c>
      <c r="H25" s="144">
        <f t="shared" si="15"/>
        <v>6.833333333333333</v>
      </c>
      <c r="I25" s="146" t="s">
        <v>620</v>
      </c>
      <c r="J25" s="145">
        <v>786</v>
      </c>
      <c r="K25" s="144">
        <f t="shared" si="16"/>
        <v>1190.9090909090908</v>
      </c>
      <c r="L25" s="143">
        <f t="shared" si="17"/>
        <v>0.71454545454545459</v>
      </c>
      <c r="M25" s="144">
        <f t="shared" si="18"/>
        <v>9.1300000000000008</v>
      </c>
      <c r="N25" s="144">
        <f t="shared" si="19"/>
        <v>13.833333333333334</v>
      </c>
      <c r="O25" s="146" t="s">
        <v>619</v>
      </c>
      <c r="P25" s="145">
        <v>997</v>
      </c>
      <c r="Q25" s="144">
        <f t="shared" si="20"/>
        <v>1510.6060606060605</v>
      </c>
      <c r="R25" s="143">
        <f t="shared" si="21"/>
        <v>0.90636363636363637</v>
      </c>
      <c r="S25" s="144">
        <f t="shared" si="22"/>
        <v>9.1300000000000008</v>
      </c>
      <c r="T25" s="162">
        <f t="shared" si="23"/>
        <v>13.833333333333334</v>
      </c>
    </row>
    <row r="26" spans="1:20">
      <c r="A26" s="148">
        <v>600</v>
      </c>
      <c r="B26" s="147">
        <v>1200</v>
      </c>
      <c r="C26" s="146" t="s">
        <v>618</v>
      </c>
      <c r="D26" s="145">
        <v>591</v>
      </c>
      <c r="E26" s="144">
        <f t="shared" si="12"/>
        <v>820.83333333333337</v>
      </c>
      <c r="F26" s="143">
        <f t="shared" si="13"/>
        <v>0.49249999999999999</v>
      </c>
      <c r="G26" s="144">
        <f t="shared" si="14"/>
        <v>4.919999999999999</v>
      </c>
      <c r="H26" s="144">
        <f t="shared" si="15"/>
        <v>6.8333333333333321</v>
      </c>
      <c r="I26" s="146" t="s">
        <v>618</v>
      </c>
      <c r="J26" s="145">
        <v>858</v>
      </c>
      <c r="K26" s="144">
        <f t="shared" si="16"/>
        <v>1191.6666666666667</v>
      </c>
      <c r="L26" s="143">
        <f t="shared" si="17"/>
        <v>0.71499999999999997</v>
      </c>
      <c r="M26" s="144">
        <f t="shared" si="18"/>
        <v>9.9600000000000009</v>
      </c>
      <c r="N26" s="144">
        <f t="shared" si="19"/>
        <v>13.833333333333336</v>
      </c>
      <c r="O26" s="146" t="s">
        <v>617</v>
      </c>
      <c r="P26" s="145">
        <v>1089</v>
      </c>
      <c r="Q26" s="144">
        <f t="shared" si="20"/>
        <v>1512.5</v>
      </c>
      <c r="R26" s="143">
        <f t="shared" si="21"/>
        <v>0.90749999999999997</v>
      </c>
      <c r="S26" s="144">
        <f t="shared" si="22"/>
        <v>9.9600000000000009</v>
      </c>
      <c r="T26" s="162">
        <f t="shared" si="23"/>
        <v>13.833333333333336</v>
      </c>
    </row>
    <row r="27" spans="1:20">
      <c r="A27" s="148">
        <v>600</v>
      </c>
      <c r="B27" s="147">
        <v>1400</v>
      </c>
      <c r="C27" s="146" t="s">
        <v>616</v>
      </c>
      <c r="D27" s="145">
        <v>691</v>
      </c>
      <c r="E27" s="144">
        <f t="shared" si="12"/>
        <v>822.61904761904771</v>
      </c>
      <c r="F27" s="143">
        <f t="shared" si="13"/>
        <v>0.49357142857142855</v>
      </c>
      <c r="G27" s="144">
        <f t="shared" si="14"/>
        <v>5.7399999999999993</v>
      </c>
      <c r="H27" s="144">
        <f t="shared" si="15"/>
        <v>6.833333333333333</v>
      </c>
      <c r="I27" s="146" t="s">
        <v>616</v>
      </c>
      <c r="J27" s="145">
        <v>1003</v>
      </c>
      <c r="K27" s="144">
        <f t="shared" si="16"/>
        <v>1194.047619047619</v>
      </c>
      <c r="L27" s="143">
        <f t="shared" si="17"/>
        <v>0.71642857142857141</v>
      </c>
      <c r="M27" s="144">
        <f t="shared" si="18"/>
        <v>11.620000000000001</v>
      </c>
      <c r="N27" s="144">
        <f t="shared" si="19"/>
        <v>13.833333333333336</v>
      </c>
      <c r="O27" s="146" t="s">
        <v>615</v>
      </c>
      <c r="P27" s="145">
        <v>1273</v>
      </c>
      <c r="Q27" s="144">
        <f t="shared" si="20"/>
        <v>1515.4761904761906</v>
      </c>
      <c r="R27" s="143">
        <f t="shared" si="21"/>
        <v>0.90928571428571425</v>
      </c>
      <c r="S27" s="144">
        <f t="shared" si="22"/>
        <v>11.620000000000001</v>
      </c>
      <c r="T27" s="162">
        <f t="shared" si="23"/>
        <v>13.833333333333336</v>
      </c>
    </row>
    <row r="28" spans="1:20">
      <c r="A28" s="148">
        <v>600</v>
      </c>
      <c r="B28" s="147">
        <v>1600</v>
      </c>
      <c r="C28" s="146" t="s">
        <v>614</v>
      </c>
      <c r="D28" s="145">
        <v>791</v>
      </c>
      <c r="E28" s="144">
        <f t="shared" si="12"/>
        <v>823.95833333333337</v>
      </c>
      <c r="F28" s="143">
        <f t="shared" si="13"/>
        <v>0.49437500000000001</v>
      </c>
      <c r="G28" s="144">
        <f t="shared" si="14"/>
        <v>6.56</v>
      </c>
      <c r="H28" s="144">
        <f t="shared" si="15"/>
        <v>6.833333333333333</v>
      </c>
      <c r="I28" s="146" t="s">
        <v>614</v>
      </c>
      <c r="J28" s="145">
        <v>1149</v>
      </c>
      <c r="K28" s="144">
        <f t="shared" si="16"/>
        <v>1196.875</v>
      </c>
      <c r="L28" s="143">
        <f t="shared" si="17"/>
        <v>0.71812500000000001</v>
      </c>
      <c r="M28" s="144">
        <f t="shared" si="18"/>
        <v>13.280000000000001</v>
      </c>
      <c r="N28" s="144">
        <f t="shared" si="19"/>
        <v>13.833333333333336</v>
      </c>
      <c r="O28" s="146" t="s">
        <v>613</v>
      </c>
      <c r="P28" s="145">
        <v>1458</v>
      </c>
      <c r="Q28" s="144">
        <f t="shared" si="20"/>
        <v>1518.75</v>
      </c>
      <c r="R28" s="143">
        <f t="shared" si="21"/>
        <v>0.91125</v>
      </c>
      <c r="S28" s="144">
        <f t="shared" si="22"/>
        <v>13.280000000000001</v>
      </c>
      <c r="T28" s="162">
        <f t="shared" si="23"/>
        <v>13.833333333333336</v>
      </c>
    </row>
    <row r="29" spans="1:20">
      <c r="A29" s="148">
        <v>600</v>
      </c>
      <c r="B29" s="147">
        <v>1800</v>
      </c>
      <c r="C29" s="146" t="s">
        <v>612</v>
      </c>
      <c r="D29" s="145">
        <v>891</v>
      </c>
      <c r="E29" s="144">
        <f t="shared" si="12"/>
        <v>825</v>
      </c>
      <c r="F29" s="143">
        <f t="shared" si="13"/>
        <v>0.495</v>
      </c>
      <c r="G29" s="144">
        <f t="shared" si="14"/>
        <v>7.38</v>
      </c>
      <c r="H29" s="144">
        <f t="shared" si="15"/>
        <v>6.833333333333333</v>
      </c>
      <c r="I29" s="146" t="s">
        <v>612</v>
      </c>
      <c r="J29" s="145">
        <v>1294</v>
      </c>
      <c r="K29" s="144">
        <f t="shared" si="16"/>
        <v>1198.148148148148</v>
      </c>
      <c r="L29" s="143">
        <f t="shared" si="17"/>
        <v>0.71888888888888891</v>
      </c>
      <c r="M29" s="144">
        <f t="shared" si="18"/>
        <v>14.940000000000001</v>
      </c>
      <c r="N29" s="144">
        <f t="shared" si="19"/>
        <v>13.833333333333334</v>
      </c>
      <c r="O29" s="146" t="s">
        <v>611</v>
      </c>
      <c r="P29" s="145">
        <v>1643</v>
      </c>
      <c r="Q29" s="144">
        <f t="shared" si="20"/>
        <v>1521.2962962962963</v>
      </c>
      <c r="R29" s="143">
        <f t="shared" si="21"/>
        <v>0.9127777777777778</v>
      </c>
      <c r="S29" s="144">
        <f t="shared" si="22"/>
        <v>14.940000000000001</v>
      </c>
      <c r="T29" s="162">
        <f t="shared" si="23"/>
        <v>13.833333333333334</v>
      </c>
    </row>
    <row r="30" spans="1:20">
      <c r="A30" s="148">
        <v>600</v>
      </c>
      <c r="B30" s="147">
        <v>2000</v>
      </c>
      <c r="C30" s="146" t="s">
        <v>610</v>
      </c>
      <c r="D30" s="145">
        <v>991</v>
      </c>
      <c r="E30" s="144">
        <f t="shared" si="12"/>
        <v>825.83333333333337</v>
      </c>
      <c r="F30" s="143">
        <f t="shared" si="13"/>
        <v>0.4955</v>
      </c>
      <c r="G30" s="144">
        <f t="shared" si="14"/>
        <v>8.1999999999999993</v>
      </c>
      <c r="H30" s="144">
        <f t="shared" si="15"/>
        <v>6.833333333333333</v>
      </c>
      <c r="I30" s="146" t="s">
        <v>610</v>
      </c>
      <c r="J30" s="145">
        <v>1439</v>
      </c>
      <c r="K30" s="144">
        <f t="shared" si="16"/>
        <v>1199.1666666666667</v>
      </c>
      <c r="L30" s="143">
        <f t="shared" si="17"/>
        <v>0.71950000000000003</v>
      </c>
      <c r="M30" s="144">
        <f t="shared" si="18"/>
        <v>16.600000000000001</v>
      </c>
      <c r="N30" s="144">
        <f t="shared" si="19"/>
        <v>13.833333333333336</v>
      </c>
      <c r="O30" s="146" t="s">
        <v>609</v>
      </c>
      <c r="P30" s="145">
        <v>1827</v>
      </c>
      <c r="Q30" s="144">
        <f t="shared" si="20"/>
        <v>1522.5</v>
      </c>
      <c r="R30" s="143">
        <f t="shared" si="21"/>
        <v>0.91349999999999998</v>
      </c>
      <c r="S30" s="144">
        <f t="shared" si="22"/>
        <v>16.600000000000001</v>
      </c>
      <c r="T30" s="162">
        <f t="shared" si="23"/>
        <v>13.833333333333336</v>
      </c>
    </row>
    <row r="31" spans="1:20">
      <c r="A31" s="148"/>
      <c r="B31" s="147"/>
      <c r="C31" s="146"/>
      <c r="D31" s="145"/>
      <c r="E31" s="144"/>
      <c r="F31" s="143"/>
      <c r="G31" s="144"/>
      <c r="H31" s="144"/>
      <c r="I31" s="146"/>
      <c r="J31" s="145"/>
      <c r="K31" s="144"/>
      <c r="L31" s="143"/>
      <c r="M31" s="144"/>
      <c r="N31" s="144"/>
      <c r="O31" s="146"/>
      <c r="P31" s="145"/>
      <c r="Q31" s="144"/>
      <c r="R31" s="143"/>
      <c r="S31" s="144"/>
      <c r="T31" s="162"/>
    </row>
    <row r="32" spans="1:20">
      <c r="A32" s="148">
        <v>700</v>
      </c>
      <c r="B32" s="147">
        <v>400</v>
      </c>
      <c r="C32" s="146" t="s">
        <v>608</v>
      </c>
      <c r="D32" s="145">
        <v>214</v>
      </c>
      <c r="E32" s="144">
        <f t="shared" ref="E32:E44" si="24">D32/((A32*B32)/1000000)</f>
        <v>764.28571428571422</v>
      </c>
      <c r="F32" s="143">
        <f t="shared" ref="F32:F44" si="25">D32/$B32</f>
        <v>0.53500000000000003</v>
      </c>
      <c r="G32" s="144">
        <f t="shared" ref="G32:G44" si="26">(B32/1000)*4.9</f>
        <v>1.9600000000000002</v>
      </c>
      <c r="H32" s="144">
        <f t="shared" ref="H32:H44" si="27">G32/((A32*B32)/1000000)</f>
        <v>7</v>
      </c>
      <c r="I32" s="146" t="s">
        <v>608</v>
      </c>
      <c r="J32" s="145">
        <v>314</v>
      </c>
      <c r="K32" s="144">
        <f t="shared" ref="K32:K44" si="28">J32/((A32*B32)/1000000)</f>
        <v>1121.4285714285713</v>
      </c>
      <c r="L32" s="143">
        <f t="shared" ref="L32:L44" si="29">J32/B32</f>
        <v>0.78500000000000003</v>
      </c>
      <c r="M32" s="144">
        <f t="shared" ref="M32:M44" si="30">(B32/1000)*9.9</f>
        <v>3.9600000000000004</v>
      </c>
      <c r="N32" s="144">
        <f t="shared" ref="N32:N44" si="31">M32/((A32*B32)/1000000)</f>
        <v>14.142857142857142</v>
      </c>
      <c r="O32" s="146" t="s">
        <v>607</v>
      </c>
      <c r="P32" s="145">
        <v>398</v>
      </c>
      <c r="Q32" s="144">
        <f t="shared" ref="Q32:Q44" si="32">P32/((A32*B32)/1000000)</f>
        <v>1421.4285714285713</v>
      </c>
      <c r="R32" s="143">
        <f t="shared" ref="R32:R44" si="33">P32/B32</f>
        <v>0.995</v>
      </c>
      <c r="S32" s="144">
        <f t="shared" ref="S32:S44" si="34">(B32/1000)*9.9</f>
        <v>3.9600000000000004</v>
      </c>
      <c r="T32" s="162">
        <f t="shared" ref="T32:T44" si="35">S32/((A32*B32)/1000000)</f>
        <v>14.142857142857142</v>
      </c>
    </row>
    <row r="33" spans="1:22">
      <c r="A33" s="148">
        <v>700</v>
      </c>
      <c r="B33" s="147">
        <v>500</v>
      </c>
      <c r="C33" s="146" t="s">
        <v>606</v>
      </c>
      <c r="D33" s="145">
        <v>270</v>
      </c>
      <c r="E33" s="144">
        <f t="shared" si="24"/>
        <v>771.42857142857144</v>
      </c>
      <c r="F33" s="143">
        <f t="shared" si="25"/>
        <v>0.54</v>
      </c>
      <c r="G33" s="144">
        <f t="shared" si="26"/>
        <v>2.4500000000000002</v>
      </c>
      <c r="H33" s="144">
        <f t="shared" si="27"/>
        <v>7.0000000000000009</v>
      </c>
      <c r="I33" s="146" t="s">
        <v>606</v>
      </c>
      <c r="J33" s="145">
        <v>397</v>
      </c>
      <c r="K33" s="144">
        <f t="shared" si="28"/>
        <v>1134.2857142857144</v>
      </c>
      <c r="L33" s="143">
        <f t="shared" si="29"/>
        <v>0.79400000000000004</v>
      </c>
      <c r="M33" s="144">
        <f t="shared" si="30"/>
        <v>4.95</v>
      </c>
      <c r="N33" s="144">
        <f t="shared" si="31"/>
        <v>14.142857142857144</v>
      </c>
      <c r="O33" s="146" t="s">
        <v>605</v>
      </c>
      <c r="P33" s="145">
        <v>503</v>
      </c>
      <c r="Q33" s="144">
        <f t="shared" si="32"/>
        <v>1437.1428571428573</v>
      </c>
      <c r="R33" s="143">
        <f t="shared" si="33"/>
        <v>1.006</v>
      </c>
      <c r="S33" s="144">
        <f t="shared" si="34"/>
        <v>4.95</v>
      </c>
      <c r="T33" s="162">
        <f t="shared" si="35"/>
        <v>14.142857142857144</v>
      </c>
    </row>
    <row r="34" spans="1:22">
      <c r="A34" s="148">
        <v>700</v>
      </c>
      <c r="B34" s="147">
        <v>600</v>
      </c>
      <c r="C34" s="146" t="s">
        <v>604</v>
      </c>
      <c r="D34" s="145">
        <v>327</v>
      </c>
      <c r="E34" s="144">
        <f t="shared" si="24"/>
        <v>778.57142857142856</v>
      </c>
      <c r="F34" s="143">
        <f t="shared" si="25"/>
        <v>0.54500000000000004</v>
      </c>
      <c r="G34" s="144">
        <f t="shared" si="26"/>
        <v>2.94</v>
      </c>
      <c r="H34" s="144">
        <f t="shared" si="27"/>
        <v>7</v>
      </c>
      <c r="I34" s="146" t="s">
        <v>604</v>
      </c>
      <c r="J34" s="145">
        <v>480</v>
      </c>
      <c r="K34" s="144">
        <f t="shared" si="28"/>
        <v>1142.8571428571429</v>
      </c>
      <c r="L34" s="143">
        <f t="shared" si="29"/>
        <v>0.8</v>
      </c>
      <c r="M34" s="144">
        <f t="shared" si="30"/>
        <v>5.94</v>
      </c>
      <c r="N34" s="144">
        <f t="shared" si="31"/>
        <v>14.142857142857144</v>
      </c>
      <c r="O34" s="146" t="s">
        <v>603</v>
      </c>
      <c r="P34" s="145">
        <v>607</v>
      </c>
      <c r="Q34" s="144">
        <f t="shared" si="32"/>
        <v>1445.2380952380952</v>
      </c>
      <c r="R34" s="143">
        <f t="shared" si="33"/>
        <v>1.0116666666666667</v>
      </c>
      <c r="S34" s="144">
        <f t="shared" si="34"/>
        <v>5.94</v>
      </c>
      <c r="T34" s="162">
        <f t="shared" si="35"/>
        <v>14.142857142857144</v>
      </c>
    </row>
    <row r="35" spans="1:22">
      <c r="A35" s="148">
        <v>700</v>
      </c>
      <c r="B35" s="147">
        <v>700</v>
      </c>
      <c r="C35" s="146" t="s">
        <v>602</v>
      </c>
      <c r="D35" s="145">
        <v>383</v>
      </c>
      <c r="E35" s="144">
        <f t="shared" si="24"/>
        <v>781.63265306122446</v>
      </c>
      <c r="F35" s="143">
        <f t="shared" si="25"/>
        <v>0.54714285714285715</v>
      </c>
      <c r="G35" s="144">
        <f t="shared" si="26"/>
        <v>3.43</v>
      </c>
      <c r="H35" s="144">
        <f t="shared" si="27"/>
        <v>7.0000000000000009</v>
      </c>
      <c r="I35" s="146" t="s">
        <v>602</v>
      </c>
      <c r="J35" s="145">
        <v>561</v>
      </c>
      <c r="K35" s="144">
        <f t="shared" si="28"/>
        <v>1144.8979591836735</v>
      </c>
      <c r="L35" s="143">
        <f t="shared" si="29"/>
        <v>0.80142857142857138</v>
      </c>
      <c r="M35" s="144">
        <f t="shared" si="30"/>
        <v>6.93</v>
      </c>
      <c r="N35" s="144">
        <f t="shared" si="31"/>
        <v>14.142857142857142</v>
      </c>
      <c r="O35" s="146" t="s">
        <v>601</v>
      </c>
      <c r="P35" s="145">
        <v>711</v>
      </c>
      <c r="Q35" s="144">
        <f t="shared" si="32"/>
        <v>1451.0204081632653</v>
      </c>
      <c r="R35" s="143">
        <f t="shared" si="33"/>
        <v>1.0157142857142858</v>
      </c>
      <c r="S35" s="144">
        <f t="shared" si="34"/>
        <v>6.93</v>
      </c>
      <c r="T35" s="162">
        <f t="shared" si="35"/>
        <v>14.142857142857142</v>
      </c>
    </row>
    <row r="36" spans="1:22">
      <c r="A36" s="148">
        <v>700</v>
      </c>
      <c r="B36" s="147">
        <v>800</v>
      </c>
      <c r="C36" s="146" t="s">
        <v>600</v>
      </c>
      <c r="D36" s="145">
        <v>439</v>
      </c>
      <c r="E36" s="144">
        <f t="shared" si="24"/>
        <v>783.92857142857133</v>
      </c>
      <c r="F36" s="143">
        <f t="shared" si="25"/>
        <v>0.54874999999999996</v>
      </c>
      <c r="G36" s="144">
        <f t="shared" si="26"/>
        <v>3.9200000000000004</v>
      </c>
      <c r="H36" s="144">
        <f t="shared" si="27"/>
        <v>7</v>
      </c>
      <c r="I36" s="146" t="s">
        <v>600</v>
      </c>
      <c r="J36" s="145">
        <v>644</v>
      </c>
      <c r="K36" s="144">
        <f t="shared" si="28"/>
        <v>1150</v>
      </c>
      <c r="L36" s="143">
        <f t="shared" si="29"/>
        <v>0.80500000000000005</v>
      </c>
      <c r="M36" s="144">
        <f t="shared" si="30"/>
        <v>7.9200000000000008</v>
      </c>
      <c r="N36" s="144">
        <f t="shared" si="31"/>
        <v>14.142857142857142</v>
      </c>
      <c r="O36" s="146" t="s">
        <v>599</v>
      </c>
      <c r="P36" s="145">
        <v>816</v>
      </c>
      <c r="Q36" s="144">
        <f t="shared" si="32"/>
        <v>1457.1428571428571</v>
      </c>
      <c r="R36" s="143">
        <f t="shared" si="33"/>
        <v>1.02</v>
      </c>
      <c r="S36" s="144">
        <f t="shared" si="34"/>
        <v>7.9200000000000008</v>
      </c>
      <c r="T36" s="162">
        <f t="shared" si="35"/>
        <v>14.142857142857142</v>
      </c>
    </row>
    <row r="37" spans="1:22">
      <c r="A37" s="148">
        <v>700</v>
      </c>
      <c r="B37" s="147">
        <v>900</v>
      </c>
      <c r="C37" s="146" t="s">
        <v>598</v>
      </c>
      <c r="D37" s="145">
        <v>495</v>
      </c>
      <c r="E37" s="144">
        <f t="shared" si="24"/>
        <v>785.71428571428567</v>
      </c>
      <c r="F37" s="143">
        <f t="shared" si="25"/>
        <v>0.55000000000000004</v>
      </c>
      <c r="G37" s="144">
        <f t="shared" si="26"/>
        <v>4.41</v>
      </c>
      <c r="H37" s="144">
        <f t="shared" si="27"/>
        <v>7</v>
      </c>
      <c r="I37" s="146" t="s">
        <v>598</v>
      </c>
      <c r="J37" s="145">
        <v>726</v>
      </c>
      <c r="K37" s="144">
        <f t="shared" si="28"/>
        <v>1152.3809523809523</v>
      </c>
      <c r="L37" s="143">
        <f t="shared" si="29"/>
        <v>0.80666666666666664</v>
      </c>
      <c r="M37" s="144">
        <f t="shared" si="30"/>
        <v>8.91</v>
      </c>
      <c r="N37" s="144">
        <f t="shared" si="31"/>
        <v>14.142857142857142</v>
      </c>
      <c r="O37" s="146" t="s">
        <v>597</v>
      </c>
      <c r="P37" s="145">
        <v>920</v>
      </c>
      <c r="Q37" s="144">
        <f t="shared" si="32"/>
        <v>1460.3174603174602</v>
      </c>
      <c r="R37" s="143">
        <f t="shared" si="33"/>
        <v>1.0222222222222221</v>
      </c>
      <c r="S37" s="144">
        <f t="shared" si="34"/>
        <v>8.91</v>
      </c>
      <c r="T37" s="162">
        <f t="shared" si="35"/>
        <v>14.142857142857142</v>
      </c>
    </row>
    <row r="38" spans="1:22">
      <c r="A38" s="148">
        <v>700</v>
      </c>
      <c r="B38" s="147">
        <v>1000</v>
      </c>
      <c r="C38" s="146" t="s">
        <v>596</v>
      </c>
      <c r="D38" s="145">
        <v>551</v>
      </c>
      <c r="E38" s="144">
        <f t="shared" si="24"/>
        <v>787.14285714285722</v>
      </c>
      <c r="F38" s="143">
        <f t="shared" si="25"/>
        <v>0.55100000000000005</v>
      </c>
      <c r="G38" s="144">
        <f t="shared" si="26"/>
        <v>4.9000000000000004</v>
      </c>
      <c r="H38" s="144">
        <f t="shared" si="27"/>
        <v>7.0000000000000009</v>
      </c>
      <c r="I38" s="146" t="s">
        <v>596</v>
      </c>
      <c r="J38" s="145">
        <v>809</v>
      </c>
      <c r="K38" s="144">
        <f t="shared" si="28"/>
        <v>1155.7142857142858</v>
      </c>
      <c r="L38" s="143">
        <f t="shared" si="29"/>
        <v>0.80900000000000005</v>
      </c>
      <c r="M38" s="144">
        <f t="shared" si="30"/>
        <v>9.9</v>
      </c>
      <c r="N38" s="144">
        <f t="shared" si="31"/>
        <v>14.142857142857144</v>
      </c>
      <c r="O38" s="146" t="s">
        <v>595</v>
      </c>
      <c r="P38" s="145">
        <v>1025</v>
      </c>
      <c r="Q38" s="144">
        <f t="shared" si="32"/>
        <v>1464.2857142857144</v>
      </c>
      <c r="R38" s="143">
        <f t="shared" si="33"/>
        <v>1.0249999999999999</v>
      </c>
      <c r="S38" s="144">
        <f t="shared" si="34"/>
        <v>9.9</v>
      </c>
      <c r="T38" s="162">
        <f t="shared" si="35"/>
        <v>14.142857142857144</v>
      </c>
    </row>
    <row r="39" spans="1:22">
      <c r="A39" s="148">
        <v>700</v>
      </c>
      <c r="B39" s="147">
        <v>1100</v>
      </c>
      <c r="C39" s="146" t="s">
        <v>594</v>
      </c>
      <c r="D39" s="145">
        <v>608</v>
      </c>
      <c r="E39" s="144">
        <f t="shared" si="24"/>
        <v>789.61038961038957</v>
      </c>
      <c r="F39" s="143">
        <f t="shared" si="25"/>
        <v>0.55272727272727273</v>
      </c>
      <c r="G39" s="144">
        <f t="shared" si="26"/>
        <v>5.3900000000000006</v>
      </c>
      <c r="H39" s="144">
        <f t="shared" si="27"/>
        <v>7.0000000000000009</v>
      </c>
      <c r="I39" s="146" t="s">
        <v>594</v>
      </c>
      <c r="J39" s="145">
        <v>892</v>
      </c>
      <c r="K39" s="144">
        <f t="shared" si="28"/>
        <v>1158.4415584415585</v>
      </c>
      <c r="L39" s="143">
        <f t="shared" si="29"/>
        <v>0.81090909090909091</v>
      </c>
      <c r="M39" s="144">
        <f t="shared" si="30"/>
        <v>10.89</v>
      </c>
      <c r="N39" s="144">
        <f t="shared" si="31"/>
        <v>14.142857142857144</v>
      </c>
      <c r="O39" s="146" t="s">
        <v>593</v>
      </c>
      <c r="P39" s="145">
        <v>1130</v>
      </c>
      <c r="Q39" s="144">
        <f t="shared" si="32"/>
        <v>1467.5324675324675</v>
      </c>
      <c r="R39" s="143">
        <f t="shared" si="33"/>
        <v>1.0272727272727273</v>
      </c>
      <c r="S39" s="144">
        <f t="shared" si="34"/>
        <v>10.89</v>
      </c>
      <c r="T39" s="162">
        <f t="shared" si="35"/>
        <v>14.142857142857144</v>
      </c>
      <c r="V39" s="123" t="s">
        <v>676</v>
      </c>
    </row>
    <row r="40" spans="1:22">
      <c r="A40" s="148">
        <v>700</v>
      </c>
      <c r="B40" s="147">
        <v>1200</v>
      </c>
      <c r="C40" s="146" t="s">
        <v>592</v>
      </c>
      <c r="D40" s="145">
        <v>664</v>
      </c>
      <c r="E40" s="144">
        <f t="shared" si="24"/>
        <v>790.47619047619048</v>
      </c>
      <c r="F40" s="143">
        <f t="shared" si="25"/>
        <v>0.55333333333333334</v>
      </c>
      <c r="G40" s="144">
        <f t="shared" si="26"/>
        <v>5.88</v>
      </c>
      <c r="H40" s="144">
        <f t="shared" si="27"/>
        <v>7</v>
      </c>
      <c r="I40" s="146" t="s">
        <v>592</v>
      </c>
      <c r="J40" s="145">
        <v>974</v>
      </c>
      <c r="K40" s="144">
        <f t="shared" si="28"/>
        <v>1159.5238095238096</v>
      </c>
      <c r="L40" s="143">
        <f t="shared" si="29"/>
        <v>0.81166666666666665</v>
      </c>
      <c r="M40" s="144">
        <f t="shared" si="30"/>
        <v>11.88</v>
      </c>
      <c r="N40" s="144">
        <f t="shared" si="31"/>
        <v>14.142857142857144</v>
      </c>
      <c r="O40" s="146" t="s">
        <v>591</v>
      </c>
      <c r="P40" s="145">
        <v>1233</v>
      </c>
      <c r="Q40" s="144">
        <f t="shared" si="32"/>
        <v>1467.8571428571429</v>
      </c>
      <c r="R40" s="143">
        <f t="shared" si="33"/>
        <v>1.0275000000000001</v>
      </c>
      <c r="S40" s="144">
        <f t="shared" si="34"/>
        <v>11.88</v>
      </c>
      <c r="T40" s="162">
        <f t="shared" si="35"/>
        <v>14.142857142857144</v>
      </c>
    </row>
    <row r="41" spans="1:22">
      <c r="A41" s="148">
        <v>700</v>
      </c>
      <c r="B41" s="147">
        <v>1400</v>
      </c>
      <c r="C41" s="146" t="s">
        <v>590</v>
      </c>
      <c r="D41" s="145">
        <v>776</v>
      </c>
      <c r="E41" s="144">
        <f t="shared" si="24"/>
        <v>791.83673469387759</v>
      </c>
      <c r="F41" s="143">
        <f t="shared" si="25"/>
        <v>0.55428571428571427</v>
      </c>
      <c r="G41" s="144">
        <f t="shared" si="26"/>
        <v>6.86</v>
      </c>
      <c r="H41" s="144">
        <f t="shared" si="27"/>
        <v>7.0000000000000009</v>
      </c>
      <c r="I41" s="146" t="s">
        <v>590</v>
      </c>
      <c r="J41" s="145">
        <v>1138</v>
      </c>
      <c r="K41" s="144">
        <f t="shared" si="28"/>
        <v>1161.2244897959183</v>
      </c>
      <c r="L41" s="143">
        <f t="shared" si="29"/>
        <v>0.81285714285714283</v>
      </c>
      <c r="M41" s="144">
        <f t="shared" si="30"/>
        <v>13.86</v>
      </c>
      <c r="N41" s="144">
        <f t="shared" si="31"/>
        <v>14.142857142857142</v>
      </c>
      <c r="O41" s="146" t="s">
        <v>589</v>
      </c>
      <c r="P41" s="145">
        <v>1442</v>
      </c>
      <c r="Q41" s="144">
        <f t="shared" si="32"/>
        <v>1471.4285714285716</v>
      </c>
      <c r="R41" s="143">
        <f t="shared" si="33"/>
        <v>1.03</v>
      </c>
      <c r="S41" s="144">
        <f t="shared" si="34"/>
        <v>13.86</v>
      </c>
      <c r="T41" s="162">
        <f t="shared" si="35"/>
        <v>14.142857142857142</v>
      </c>
    </row>
    <row r="42" spans="1:22">
      <c r="A42" s="148">
        <v>700</v>
      </c>
      <c r="B42" s="147">
        <v>1600</v>
      </c>
      <c r="C42" s="146" t="s">
        <v>588</v>
      </c>
      <c r="D42" s="145">
        <v>889</v>
      </c>
      <c r="E42" s="144">
        <f t="shared" si="24"/>
        <v>793.74999999999989</v>
      </c>
      <c r="F42" s="143">
        <f t="shared" si="25"/>
        <v>0.55562500000000004</v>
      </c>
      <c r="G42" s="144">
        <f t="shared" si="26"/>
        <v>7.8400000000000007</v>
      </c>
      <c r="H42" s="144">
        <f t="shared" si="27"/>
        <v>7</v>
      </c>
      <c r="I42" s="146" t="s">
        <v>588</v>
      </c>
      <c r="J42" s="145">
        <v>1304</v>
      </c>
      <c r="K42" s="144">
        <f t="shared" si="28"/>
        <v>1164.2857142857142</v>
      </c>
      <c r="L42" s="143">
        <f t="shared" si="29"/>
        <v>0.81499999999999995</v>
      </c>
      <c r="M42" s="144">
        <f t="shared" si="30"/>
        <v>15.840000000000002</v>
      </c>
      <c r="N42" s="144">
        <f t="shared" si="31"/>
        <v>14.142857142857142</v>
      </c>
      <c r="O42" s="146" t="s">
        <v>587</v>
      </c>
      <c r="P42" s="145">
        <v>1652</v>
      </c>
      <c r="Q42" s="144">
        <f t="shared" si="32"/>
        <v>1474.9999999999998</v>
      </c>
      <c r="R42" s="143">
        <f t="shared" si="33"/>
        <v>1.0325</v>
      </c>
      <c r="S42" s="144">
        <f t="shared" si="34"/>
        <v>15.840000000000002</v>
      </c>
      <c r="T42" s="162">
        <f t="shared" si="35"/>
        <v>14.142857142857142</v>
      </c>
    </row>
    <row r="43" spans="1:22">
      <c r="A43" s="148">
        <v>700</v>
      </c>
      <c r="B43" s="147">
        <v>1800</v>
      </c>
      <c r="C43" s="146" t="s">
        <v>586</v>
      </c>
      <c r="D43" s="145">
        <v>1001</v>
      </c>
      <c r="E43" s="144">
        <f t="shared" si="24"/>
        <v>794.44444444444446</v>
      </c>
      <c r="F43" s="143">
        <f t="shared" si="25"/>
        <v>0.55611111111111111</v>
      </c>
      <c r="G43" s="144">
        <f t="shared" si="26"/>
        <v>8.82</v>
      </c>
      <c r="H43" s="144">
        <f t="shared" si="27"/>
        <v>7</v>
      </c>
      <c r="I43" s="146" t="s">
        <v>586</v>
      </c>
      <c r="J43" s="145">
        <v>1469</v>
      </c>
      <c r="K43" s="144">
        <f t="shared" si="28"/>
        <v>1165.8730158730159</v>
      </c>
      <c r="L43" s="143">
        <f t="shared" si="29"/>
        <v>0.81611111111111112</v>
      </c>
      <c r="M43" s="144">
        <f t="shared" si="30"/>
        <v>17.82</v>
      </c>
      <c r="N43" s="144">
        <f t="shared" si="31"/>
        <v>14.142857142857142</v>
      </c>
      <c r="O43" s="146" t="s">
        <v>585</v>
      </c>
      <c r="P43" s="145">
        <v>1860</v>
      </c>
      <c r="Q43" s="144">
        <f t="shared" si="32"/>
        <v>1476.1904761904761</v>
      </c>
      <c r="R43" s="143">
        <f t="shared" si="33"/>
        <v>1.0333333333333334</v>
      </c>
      <c r="S43" s="144">
        <f t="shared" si="34"/>
        <v>17.82</v>
      </c>
      <c r="T43" s="162">
        <f t="shared" si="35"/>
        <v>14.142857142857142</v>
      </c>
    </row>
    <row r="44" spans="1:22" ht="15.75" thickBot="1">
      <c r="A44" s="142">
        <v>700</v>
      </c>
      <c r="B44" s="141">
        <v>2000</v>
      </c>
      <c r="C44" s="140" t="s">
        <v>584</v>
      </c>
      <c r="D44" s="139">
        <v>1113</v>
      </c>
      <c r="E44" s="138">
        <f t="shared" si="24"/>
        <v>795</v>
      </c>
      <c r="F44" s="137">
        <f t="shared" si="25"/>
        <v>0.55649999999999999</v>
      </c>
      <c r="G44" s="138">
        <f t="shared" si="26"/>
        <v>9.8000000000000007</v>
      </c>
      <c r="H44" s="138">
        <f t="shared" si="27"/>
        <v>7.0000000000000009</v>
      </c>
      <c r="I44" s="140" t="s">
        <v>584</v>
      </c>
      <c r="J44" s="139">
        <v>1633</v>
      </c>
      <c r="K44" s="138">
        <f t="shared" si="28"/>
        <v>1166.4285714285716</v>
      </c>
      <c r="L44" s="137">
        <f t="shared" si="29"/>
        <v>0.8165</v>
      </c>
      <c r="M44" s="138">
        <f t="shared" si="30"/>
        <v>19.8</v>
      </c>
      <c r="N44" s="138">
        <f t="shared" si="31"/>
        <v>14.142857142857144</v>
      </c>
      <c r="O44" s="140" t="s">
        <v>583</v>
      </c>
      <c r="P44" s="139">
        <v>2069</v>
      </c>
      <c r="Q44" s="138">
        <f t="shared" si="32"/>
        <v>1477.8571428571429</v>
      </c>
      <c r="R44" s="137">
        <f t="shared" si="33"/>
        <v>1.0345</v>
      </c>
      <c r="S44" s="138">
        <f t="shared" si="34"/>
        <v>19.8</v>
      </c>
      <c r="T44" s="161">
        <f t="shared" si="35"/>
        <v>14.142857142857144</v>
      </c>
    </row>
    <row r="45" spans="1:22">
      <c r="F45" s="88"/>
      <c r="I45" s="88"/>
      <c r="J45" s="88"/>
      <c r="K45" s="88"/>
      <c r="L45" s="88"/>
      <c r="M45" s="88"/>
      <c r="N45" s="88"/>
      <c r="O45" s="88"/>
      <c r="P45" s="88"/>
      <c r="Q45" s="88"/>
      <c r="R45" s="88"/>
      <c r="S45" s="88"/>
    </row>
    <row r="46" spans="1:22" ht="15.75" thickBot="1">
      <c r="A46" s="160" t="s">
        <v>675</v>
      </c>
      <c r="F46" s="88"/>
      <c r="I46" s="88"/>
      <c r="J46" s="88"/>
      <c r="K46" s="88"/>
      <c r="L46" s="88"/>
      <c r="M46" s="88"/>
      <c r="N46" s="88"/>
      <c r="O46"/>
      <c r="P46" s="88"/>
      <c r="Q46" s="88"/>
      <c r="R46" s="88"/>
      <c r="S46" s="88"/>
      <c r="T46" s="88"/>
    </row>
    <row r="47" spans="1:22" ht="12.75">
      <c r="A47" s="91" t="s">
        <v>674</v>
      </c>
      <c r="B47" s="159" t="s">
        <v>673</v>
      </c>
      <c r="C47" s="158" t="s">
        <v>159</v>
      </c>
      <c r="D47" s="157" t="s">
        <v>672</v>
      </c>
      <c r="E47" s="157" t="s">
        <v>669</v>
      </c>
      <c r="F47" s="156" t="s">
        <v>668</v>
      </c>
      <c r="G47" s="158" t="s">
        <v>159</v>
      </c>
      <c r="H47" s="157" t="s">
        <v>671</v>
      </c>
      <c r="I47" s="157" t="s">
        <v>669</v>
      </c>
      <c r="J47" s="156" t="s">
        <v>668</v>
      </c>
      <c r="K47" s="158" t="s">
        <v>159</v>
      </c>
      <c r="L47" s="157" t="s">
        <v>670</v>
      </c>
      <c r="M47" s="157" t="s">
        <v>669</v>
      </c>
      <c r="N47" s="156" t="s">
        <v>668</v>
      </c>
      <c r="O47" s="88"/>
      <c r="P47" s="88"/>
      <c r="Q47" s="88"/>
      <c r="R47" s="88"/>
      <c r="S47" s="88"/>
      <c r="T47" s="88"/>
    </row>
    <row r="48" spans="1:22" ht="12.75">
      <c r="A48" s="155" t="s">
        <v>667</v>
      </c>
      <c r="B48" s="154" t="s">
        <v>667</v>
      </c>
      <c r="C48" s="146"/>
      <c r="D48" s="151" t="s">
        <v>10</v>
      </c>
      <c r="E48" s="151"/>
      <c r="F48" s="153"/>
      <c r="G48" s="152"/>
      <c r="H48" s="151" t="s">
        <v>10</v>
      </c>
      <c r="I48" s="151"/>
      <c r="J48" s="153"/>
      <c r="K48" s="152"/>
      <c r="L48" s="151" t="s">
        <v>10</v>
      </c>
      <c r="M48" s="150"/>
      <c r="N48" s="149"/>
      <c r="O48" s="88"/>
      <c r="P48" s="88"/>
      <c r="Q48" s="88"/>
      <c r="R48" s="88"/>
      <c r="S48" s="88"/>
      <c r="T48" s="88"/>
    </row>
    <row r="49" spans="1:20">
      <c r="A49" s="148">
        <v>450</v>
      </c>
      <c r="B49" s="147">
        <v>400</v>
      </c>
      <c r="C49" s="146" t="s">
        <v>666</v>
      </c>
      <c r="D49" s="145">
        <v>288</v>
      </c>
      <c r="E49" s="144">
        <f t="shared" ref="E49:E61" si="36">D49/((A49*B49)/1000000)</f>
        <v>1600</v>
      </c>
      <c r="F49" s="143">
        <f t="shared" ref="F49:F61" si="37">D49/B49</f>
        <v>0.72</v>
      </c>
      <c r="G49" s="146" t="s">
        <v>665</v>
      </c>
      <c r="H49" s="145">
        <v>424</v>
      </c>
      <c r="I49" s="144">
        <f t="shared" ref="I49:I61" si="38">H49/((A49*B49)/1000000)</f>
        <v>2355.5555555555557</v>
      </c>
      <c r="J49" s="143">
        <f t="shared" ref="J49:J61" si="39">H49/B49</f>
        <v>1.06</v>
      </c>
      <c r="K49" s="146" t="s">
        <v>664</v>
      </c>
      <c r="L49" s="145">
        <v>545</v>
      </c>
      <c r="M49" s="144">
        <f t="shared" ref="M49:M61" si="40">L49/((A49*B49)/1000000)</f>
        <v>3027.7777777777778</v>
      </c>
      <c r="N49" s="143">
        <f t="shared" ref="N49:N61" si="41">L49/B49</f>
        <v>1.3625</v>
      </c>
      <c r="O49" s="88"/>
      <c r="P49" s="88"/>
      <c r="Q49" s="88"/>
      <c r="R49" s="88"/>
      <c r="S49" s="88"/>
      <c r="T49" s="88"/>
    </row>
    <row r="50" spans="1:20">
      <c r="A50" s="148">
        <v>450</v>
      </c>
      <c r="B50" s="147">
        <v>500</v>
      </c>
      <c r="C50" s="146" t="s">
        <v>663</v>
      </c>
      <c r="D50" s="145">
        <v>364</v>
      </c>
      <c r="E50" s="144">
        <f t="shared" si="36"/>
        <v>1617.7777777777778</v>
      </c>
      <c r="F50" s="143">
        <f t="shared" si="37"/>
        <v>0.72799999999999998</v>
      </c>
      <c r="G50" s="146" t="s">
        <v>662</v>
      </c>
      <c r="H50" s="145">
        <v>535</v>
      </c>
      <c r="I50" s="144">
        <f t="shared" si="38"/>
        <v>2377.7777777777778</v>
      </c>
      <c r="J50" s="143">
        <f t="shared" si="39"/>
        <v>1.07</v>
      </c>
      <c r="K50" s="146" t="s">
        <v>661</v>
      </c>
      <c r="L50" s="145">
        <v>689</v>
      </c>
      <c r="M50" s="144">
        <f t="shared" si="40"/>
        <v>3062.2222222222222</v>
      </c>
      <c r="N50" s="143">
        <f t="shared" si="41"/>
        <v>1.3779999999999999</v>
      </c>
      <c r="O50" s="88"/>
      <c r="P50" s="88"/>
      <c r="Q50" s="88"/>
      <c r="R50" s="88"/>
      <c r="S50" s="88"/>
      <c r="T50" s="88"/>
    </row>
    <row r="51" spans="1:20">
      <c r="A51" s="148">
        <v>450</v>
      </c>
      <c r="B51" s="147">
        <v>600</v>
      </c>
      <c r="C51" s="146" t="s">
        <v>660</v>
      </c>
      <c r="D51" s="145">
        <v>440</v>
      </c>
      <c r="E51" s="144">
        <f t="shared" si="36"/>
        <v>1629.6296296296296</v>
      </c>
      <c r="F51" s="143">
        <f t="shared" si="37"/>
        <v>0.73333333333333328</v>
      </c>
      <c r="G51" s="146" t="s">
        <v>659</v>
      </c>
      <c r="H51" s="145">
        <v>647</v>
      </c>
      <c r="I51" s="144">
        <f t="shared" si="38"/>
        <v>2396.2962962962961</v>
      </c>
      <c r="J51" s="143">
        <f t="shared" si="39"/>
        <v>1.0783333333333334</v>
      </c>
      <c r="K51" s="146" t="s">
        <v>658</v>
      </c>
      <c r="L51" s="145">
        <v>833</v>
      </c>
      <c r="M51" s="144">
        <f t="shared" si="40"/>
        <v>3085.1851851851848</v>
      </c>
      <c r="N51" s="143">
        <f t="shared" si="41"/>
        <v>1.3883333333333334</v>
      </c>
      <c r="O51" s="88"/>
      <c r="P51" s="88"/>
      <c r="Q51" s="88"/>
      <c r="R51" s="88"/>
      <c r="S51" s="88"/>
      <c r="T51" s="88"/>
    </row>
    <row r="52" spans="1:20">
      <c r="A52" s="148">
        <v>450</v>
      </c>
      <c r="B52" s="147">
        <v>700</v>
      </c>
      <c r="C52" s="146" t="s">
        <v>657</v>
      </c>
      <c r="D52" s="145">
        <v>515</v>
      </c>
      <c r="E52" s="144">
        <f t="shared" si="36"/>
        <v>1634.9206349206349</v>
      </c>
      <c r="F52" s="143">
        <f t="shared" si="37"/>
        <v>0.73571428571428577</v>
      </c>
      <c r="G52" s="146" t="s">
        <v>656</v>
      </c>
      <c r="H52" s="145">
        <v>758</v>
      </c>
      <c r="I52" s="144">
        <f t="shared" si="38"/>
        <v>2406.3492063492063</v>
      </c>
      <c r="J52" s="143">
        <f t="shared" si="39"/>
        <v>1.082857142857143</v>
      </c>
      <c r="K52" s="146" t="s">
        <v>655</v>
      </c>
      <c r="L52" s="145">
        <v>975</v>
      </c>
      <c r="M52" s="144">
        <f t="shared" si="40"/>
        <v>3095.2380952380954</v>
      </c>
      <c r="N52" s="143">
        <f t="shared" si="41"/>
        <v>1.3928571428571428</v>
      </c>
      <c r="O52" s="88"/>
      <c r="P52" s="88"/>
      <c r="Q52" s="88"/>
      <c r="R52" s="88"/>
      <c r="S52" s="88"/>
      <c r="T52" s="88"/>
    </row>
    <row r="53" spans="1:20">
      <c r="A53" s="148">
        <v>450</v>
      </c>
      <c r="B53" s="147">
        <v>800</v>
      </c>
      <c r="C53" s="146" t="s">
        <v>654</v>
      </c>
      <c r="D53" s="145">
        <v>591</v>
      </c>
      <c r="E53" s="144">
        <f t="shared" si="36"/>
        <v>1641.6666666666667</v>
      </c>
      <c r="F53" s="143">
        <f t="shared" si="37"/>
        <v>0.73875000000000002</v>
      </c>
      <c r="G53" s="146" t="s">
        <v>653</v>
      </c>
      <c r="H53" s="145">
        <v>869</v>
      </c>
      <c r="I53" s="144">
        <f t="shared" si="38"/>
        <v>2413.8888888888891</v>
      </c>
      <c r="J53" s="143">
        <f t="shared" si="39"/>
        <v>1.0862499999999999</v>
      </c>
      <c r="K53" s="146" t="s">
        <v>652</v>
      </c>
      <c r="L53" s="145">
        <v>1119</v>
      </c>
      <c r="M53" s="144">
        <f t="shared" si="40"/>
        <v>3108.3333333333335</v>
      </c>
      <c r="N53" s="143">
        <f t="shared" si="41"/>
        <v>1.3987499999999999</v>
      </c>
      <c r="O53" s="88"/>
      <c r="P53" s="88"/>
      <c r="Q53" s="88"/>
      <c r="R53" s="88"/>
      <c r="S53" s="88"/>
      <c r="T53" s="88"/>
    </row>
    <row r="54" spans="1:20">
      <c r="A54" s="148">
        <v>450</v>
      </c>
      <c r="B54" s="147">
        <v>900</v>
      </c>
      <c r="C54" s="146" t="s">
        <v>651</v>
      </c>
      <c r="D54" s="145">
        <v>666</v>
      </c>
      <c r="E54" s="144">
        <f t="shared" si="36"/>
        <v>1644.4444444444443</v>
      </c>
      <c r="F54" s="143">
        <f t="shared" si="37"/>
        <v>0.74</v>
      </c>
      <c r="G54" s="146" t="s">
        <v>650</v>
      </c>
      <c r="H54" s="145">
        <v>980</v>
      </c>
      <c r="I54" s="144">
        <f t="shared" si="38"/>
        <v>2419.7530864197529</v>
      </c>
      <c r="J54" s="143">
        <f t="shared" si="39"/>
        <v>1.0888888888888888</v>
      </c>
      <c r="K54" s="146" t="s">
        <v>649</v>
      </c>
      <c r="L54" s="145">
        <v>1261</v>
      </c>
      <c r="M54" s="144">
        <f t="shared" si="40"/>
        <v>3113.5802469135801</v>
      </c>
      <c r="N54" s="143">
        <f t="shared" si="41"/>
        <v>1.4011111111111112</v>
      </c>
      <c r="O54" s="88"/>
      <c r="P54" s="88"/>
      <c r="Q54" s="88"/>
      <c r="R54" s="88"/>
      <c r="S54" s="88"/>
      <c r="T54" s="88"/>
    </row>
    <row r="55" spans="1:20">
      <c r="A55" s="148">
        <v>450</v>
      </c>
      <c r="B55" s="147">
        <v>1000</v>
      </c>
      <c r="C55" s="146" t="s">
        <v>648</v>
      </c>
      <c r="D55" s="145">
        <v>742</v>
      </c>
      <c r="E55" s="144">
        <f t="shared" si="36"/>
        <v>1648.8888888888889</v>
      </c>
      <c r="F55" s="143">
        <f t="shared" si="37"/>
        <v>0.74199999999999999</v>
      </c>
      <c r="G55" s="146" t="s">
        <v>648</v>
      </c>
      <c r="H55" s="145">
        <v>1092</v>
      </c>
      <c r="I55" s="144">
        <f t="shared" si="38"/>
        <v>2426.6666666666665</v>
      </c>
      <c r="J55" s="143">
        <f t="shared" si="39"/>
        <v>1.0920000000000001</v>
      </c>
      <c r="K55" s="146" t="s">
        <v>647</v>
      </c>
      <c r="L55" s="145">
        <v>1405</v>
      </c>
      <c r="M55" s="144">
        <f t="shared" si="40"/>
        <v>3122.2222222222222</v>
      </c>
      <c r="N55" s="143">
        <f t="shared" si="41"/>
        <v>1.405</v>
      </c>
      <c r="O55" s="88"/>
      <c r="P55" s="88"/>
      <c r="Q55" s="88"/>
      <c r="R55" s="88"/>
      <c r="S55" s="88"/>
      <c r="T55" s="88"/>
    </row>
    <row r="56" spans="1:20">
      <c r="A56" s="148">
        <v>450</v>
      </c>
      <c r="B56" s="147">
        <v>1100</v>
      </c>
      <c r="C56" s="146" t="s">
        <v>646</v>
      </c>
      <c r="D56" s="145">
        <v>818</v>
      </c>
      <c r="E56" s="144">
        <f t="shared" si="36"/>
        <v>1652.5252525252524</v>
      </c>
      <c r="F56" s="143">
        <f t="shared" si="37"/>
        <v>0.74363636363636365</v>
      </c>
      <c r="G56" s="146" t="s">
        <v>646</v>
      </c>
      <c r="H56" s="145">
        <v>1203</v>
      </c>
      <c r="I56" s="144">
        <f t="shared" si="38"/>
        <v>2430.3030303030305</v>
      </c>
      <c r="J56" s="143">
        <f t="shared" si="39"/>
        <v>1.0936363636363637</v>
      </c>
      <c r="K56" s="146" t="s">
        <v>645</v>
      </c>
      <c r="L56" s="145">
        <v>1548</v>
      </c>
      <c r="M56" s="144">
        <f t="shared" si="40"/>
        <v>3127.2727272727275</v>
      </c>
      <c r="N56" s="143">
        <f t="shared" si="41"/>
        <v>1.4072727272727272</v>
      </c>
      <c r="O56" s="88"/>
      <c r="P56" s="88"/>
      <c r="Q56" s="88"/>
      <c r="R56" s="88"/>
      <c r="S56" s="88"/>
      <c r="T56" s="88"/>
    </row>
    <row r="57" spans="1:20">
      <c r="A57" s="148">
        <v>450</v>
      </c>
      <c r="B57" s="147">
        <v>1200</v>
      </c>
      <c r="C57" s="146" t="s">
        <v>644</v>
      </c>
      <c r="D57" s="145">
        <v>893</v>
      </c>
      <c r="E57" s="144">
        <f t="shared" si="36"/>
        <v>1653.7037037037037</v>
      </c>
      <c r="F57" s="143">
        <f t="shared" si="37"/>
        <v>0.74416666666666664</v>
      </c>
      <c r="G57" s="146" t="s">
        <v>644</v>
      </c>
      <c r="H57" s="145">
        <v>1314</v>
      </c>
      <c r="I57" s="144">
        <f t="shared" si="38"/>
        <v>2433.333333333333</v>
      </c>
      <c r="J57" s="143">
        <f t="shared" si="39"/>
        <v>1.095</v>
      </c>
      <c r="K57" s="146" t="s">
        <v>643</v>
      </c>
      <c r="L57" s="145">
        <v>1691</v>
      </c>
      <c r="M57" s="144">
        <f t="shared" si="40"/>
        <v>3131.4814814814813</v>
      </c>
      <c r="N57" s="143">
        <f t="shared" si="41"/>
        <v>1.4091666666666667</v>
      </c>
      <c r="O57" s="88"/>
      <c r="P57" s="88"/>
      <c r="Q57" s="88"/>
      <c r="R57" s="88"/>
      <c r="S57" s="88"/>
      <c r="T57" s="88"/>
    </row>
    <row r="58" spans="1:20">
      <c r="A58" s="148">
        <v>450</v>
      </c>
      <c r="B58" s="147">
        <v>1400</v>
      </c>
      <c r="C58" s="146" t="s">
        <v>642</v>
      </c>
      <c r="D58" s="145">
        <v>1044</v>
      </c>
      <c r="E58" s="144">
        <f t="shared" si="36"/>
        <v>1657.1428571428571</v>
      </c>
      <c r="F58" s="143">
        <f t="shared" si="37"/>
        <v>0.74571428571428566</v>
      </c>
      <c r="G58" s="146" t="s">
        <v>642</v>
      </c>
      <c r="H58" s="145">
        <v>1536</v>
      </c>
      <c r="I58" s="144">
        <f t="shared" si="38"/>
        <v>2438.0952380952381</v>
      </c>
      <c r="J58" s="143">
        <f t="shared" si="39"/>
        <v>1.0971428571428572</v>
      </c>
      <c r="K58" s="146" t="s">
        <v>641</v>
      </c>
      <c r="L58" s="145">
        <v>1977</v>
      </c>
      <c r="M58" s="144">
        <f t="shared" si="40"/>
        <v>3138.0952380952381</v>
      </c>
      <c r="N58" s="143">
        <f t="shared" si="41"/>
        <v>1.4121428571428571</v>
      </c>
      <c r="O58" s="88"/>
      <c r="P58" s="88"/>
      <c r="Q58" s="88"/>
      <c r="R58" s="88"/>
      <c r="S58" s="88"/>
      <c r="T58" s="88"/>
    </row>
    <row r="59" spans="1:20">
      <c r="A59" s="148">
        <v>450</v>
      </c>
      <c r="B59" s="147">
        <v>1600</v>
      </c>
      <c r="C59" s="146" t="s">
        <v>640</v>
      </c>
      <c r="D59" s="145">
        <v>1196</v>
      </c>
      <c r="E59" s="144">
        <f t="shared" si="36"/>
        <v>1661.1111111111111</v>
      </c>
      <c r="F59" s="143">
        <f t="shared" si="37"/>
        <v>0.74750000000000005</v>
      </c>
      <c r="G59" s="146" t="s">
        <v>640</v>
      </c>
      <c r="H59" s="145">
        <v>1760</v>
      </c>
      <c r="I59" s="144">
        <f t="shared" si="38"/>
        <v>2444.4444444444443</v>
      </c>
      <c r="J59" s="143">
        <f t="shared" si="39"/>
        <v>1.1000000000000001</v>
      </c>
      <c r="K59" s="146" t="s">
        <v>639</v>
      </c>
      <c r="L59" s="145">
        <v>2264</v>
      </c>
      <c r="M59" s="144">
        <f t="shared" si="40"/>
        <v>3144.4444444444443</v>
      </c>
      <c r="N59" s="143">
        <f t="shared" si="41"/>
        <v>1.415</v>
      </c>
      <c r="O59" s="88"/>
      <c r="P59" s="88"/>
      <c r="Q59" s="88"/>
      <c r="R59" s="88"/>
      <c r="S59" s="88"/>
      <c r="T59" s="88"/>
    </row>
    <row r="60" spans="1:20">
      <c r="A60" s="148">
        <v>450</v>
      </c>
      <c r="B60" s="147">
        <v>1800</v>
      </c>
      <c r="C60" s="146" t="s">
        <v>638</v>
      </c>
      <c r="D60" s="145">
        <v>1347</v>
      </c>
      <c r="E60" s="144">
        <f t="shared" si="36"/>
        <v>1662.9629629629628</v>
      </c>
      <c r="F60" s="143">
        <f t="shared" si="37"/>
        <v>0.74833333333333329</v>
      </c>
      <c r="G60" s="146" t="s">
        <v>638</v>
      </c>
      <c r="H60" s="145">
        <v>1982</v>
      </c>
      <c r="I60" s="144">
        <f t="shared" si="38"/>
        <v>2446.9135802469136</v>
      </c>
      <c r="J60" s="143">
        <f t="shared" si="39"/>
        <v>1.1011111111111112</v>
      </c>
      <c r="K60" s="146" t="s">
        <v>637</v>
      </c>
      <c r="L60" s="145">
        <v>2550</v>
      </c>
      <c r="M60" s="144">
        <f t="shared" si="40"/>
        <v>3148.1481481481478</v>
      </c>
      <c r="N60" s="143">
        <f t="shared" si="41"/>
        <v>1.4166666666666667</v>
      </c>
      <c r="O60" s="88"/>
      <c r="P60" s="88"/>
      <c r="Q60" s="88"/>
      <c r="R60" s="88"/>
      <c r="S60" s="88"/>
      <c r="T60" s="88"/>
    </row>
    <row r="61" spans="1:20">
      <c r="A61" s="148">
        <v>450</v>
      </c>
      <c r="B61" s="147">
        <v>2000</v>
      </c>
      <c r="C61" s="146" t="s">
        <v>636</v>
      </c>
      <c r="D61" s="145">
        <v>1498</v>
      </c>
      <c r="E61" s="144">
        <f t="shared" si="36"/>
        <v>1664.4444444444443</v>
      </c>
      <c r="F61" s="143">
        <f t="shared" si="37"/>
        <v>0.749</v>
      </c>
      <c r="G61" s="146" t="s">
        <v>636</v>
      </c>
      <c r="H61" s="145">
        <v>2204</v>
      </c>
      <c r="I61" s="144">
        <f t="shared" si="38"/>
        <v>2448.8888888888887</v>
      </c>
      <c r="J61" s="143">
        <f t="shared" si="39"/>
        <v>1.1020000000000001</v>
      </c>
      <c r="K61" s="146" t="s">
        <v>635</v>
      </c>
      <c r="L61" s="145">
        <v>2836</v>
      </c>
      <c r="M61" s="144">
        <f t="shared" si="40"/>
        <v>3151.1111111111109</v>
      </c>
      <c r="N61" s="143">
        <f t="shared" si="41"/>
        <v>1.4179999999999999</v>
      </c>
      <c r="O61" s="88"/>
      <c r="P61" s="88"/>
      <c r="Q61" s="88"/>
      <c r="R61" s="88"/>
      <c r="S61" s="88"/>
      <c r="T61" s="88"/>
    </row>
    <row r="62" spans="1:20">
      <c r="A62" s="148"/>
      <c r="B62" s="147"/>
      <c r="C62" s="146"/>
      <c r="D62" s="145"/>
      <c r="E62" s="144"/>
      <c r="F62" s="143"/>
      <c r="G62" s="146"/>
      <c r="H62" s="145"/>
      <c r="I62" s="144"/>
      <c r="J62" s="143"/>
      <c r="K62" s="146"/>
      <c r="L62" s="145"/>
      <c r="M62" s="144"/>
      <c r="N62" s="143"/>
      <c r="O62" s="88"/>
      <c r="P62" s="88"/>
      <c r="Q62" s="88"/>
      <c r="R62" s="88"/>
      <c r="S62" s="88"/>
      <c r="T62" s="88"/>
    </row>
    <row r="63" spans="1:20">
      <c r="A63" s="148">
        <v>600</v>
      </c>
      <c r="B63" s="147">
        <v>400</v>
      </c>
      <c r="C63" s="146" t="s">
        <v>634</v>
      </c>
      <c r="D63" s="145">
        <v>368</v>
      </c>
      <c r="E63" s="144">
        <f t="shared" ref="E63:E75" si="42">D63/((A63*B63)/1000000)</f>
        <v>1533.3333333333335</v>
      </c>
      <c r="F63" s="143">
        <f t="shared" ref="F63:F75" si="43">D63/B63</f>
        <v>0.92</v>
      </c>
      <c r="G63" s="146" t="s">
        <v>634</v>
      </c>
      <c r="H63" s="145">
        <v>539</v>
      </c>
      <c r="I63" s="144">
        <f t="shared" ref="I63:I75" si="44">H63/((A63*B63)/1000000)</f>
        <v>2245.8333333333335</v>
      </c>
      <c r="J63" s="143">
        <f t="shared" ref="J63:J75" si="45">H63/B63</f>
        <v>1.3474999999999999</v>
      </c>
      <c r="K63" s="146" t="s">
        <v>633</v>
      </c>
      <c r="L63" s="145">
        <v>691</v>
      </c>
      <c r="M63" s="144">
        <f t="shared" ref="M63:M75" si="46">L63/((A63*B63)/1000000)</f>
        <v>2879.166666666667</v>
      </c>
      <c r="N63" s="143">
        <f t="shared" ref="N63:N75" si="47">L63/B63</f>
        <v>1.7275</v>
      </c>
      <c r="O63" s="88"/>
      <c r="P63" s="88"/>
      <c r="Q63" s="88"/>
      <c r="R63" s="88"/>
      <c r="S63" s="88"/>
      <c r="T63" s="88"/>
    </row>
    <row r="64" spans="1:20">
      <c r="A64" s="148">
        <v>600</v>
      </c>
      <c r="B64" s="147">
        <v>500</v>
      </c>
      <c r="C64" s="146" t="s">
        <v>632</v>
      </c>
      <c r="D64" s="145">
        <v>466</v>
      </c>
      <c r="E64" s="144">
        <f t="shared" si="42"/>
        <v>1553.3333333333335</v>
      </c>
      <c r="F64" s="143">
        <f t="shared" si="43"/>
        <v>0.93200000000000005</v>
      </c>
      <c r="G64" s="146" t="s">
        <v>632</v>
      </c>
      <c r="H64" s="145">
        <v>681</v>
      </c>
      <c r="I64" s="144">
        <f t="shared" si="44"/>
        <v>2270</v>
      </c>
      <c r="J64" s="143">
        <f t="shared" si="45"/>
        <v>1.3620000000000001</v>
      </c>
      <c r="K64" s="146" t="s">
        <v>631</v>
      </c>
      <c r="L64" s="145">
        <v>873</v>
      </c>
      <c r="M64" s="144">
        <f t="shared" si="46"/>
        <v>2910</v>
      </c>
      <c r="N64" s="143">
        <f t="shared" si="47"/>
        <v>1.746</v>
      </c>
      <c r="O64" s="88"/>
      <c r="P64" s="88"/>
      <c r="Q64" s="88"/>
      <c r="R64" s="88"/>
      <c r="S64" s="88"/>
      <c r="T64" s="88"/>
    </row>
    <row r="65" spans="1:20">
      <c r="A65" s="148">
        <v>600</v>
      </c>
      <c r="B65" s="147">
        <v>600</v>
      </c>
      <c r="C65" s="146" t="s">
        <v>630</v>
      </c>
      <c r="D65" s="145">
        <v>563</v>
      </c>
      <c r="E65" s="144">
        <f t="shared" si="42"/>
        <v>1563.8888888888889</v>
      </c>
      <c r="F65" s="143">
        <f t="shared" si="43"/>
        <v>0.93833333333333335</v>
      </c>
      <c r="G65" s="146" t="s">
        <v>630</v>
      </c>
      <c r="H65" s="145">
        <v>823</v>
      </c>
      <c r="I65" s="144">
        <f t="shared" si="44"/>
        <v>2286.1111111111113</v>
      </c>
      <c r="J65" s="143">
        <f t="shared" si="45"/>
        <v>1.3716666666666666</v>
      </c>
      <c r="K65" s="146" t="s">
        <v>629</v>
      </c>
      <c r="L65" s="145">
        <v>1055</v>
      </c>
      <c r="M65" s="144">
        <f t="shared" si="46"/>
        <v>2930.5555555555557</v>
      </c>
      <c r="N65" s="143">
        <f t="shared" si="47"/>
        <v>1.7583333333333333</v>
      </c>
      <c r="O65" s="88"/>
      <c r="P65" s="88"/>
      <c r="Q65" s="88"/>
      <c r="R65" s="88"/>
      <c r="S65" s="88"/>
      <c r="T65" s="88"/>
    </row>
    <row r="66" spans="1:20">
      <c r="A66" s="148">
        <v>600</v>
      </c>
      <c r="B66" s="147">
        <v>700</v>
      </c>
      <c r="C66" s="146" t="s">
        <v>628</v>
      </c>
      <c r="D66" s="145">
        <v>659</v>
      </c>
      <c r="E66" s="144">
        <f t="shared" si="42"/>
        <v>1569.047619047619</v>
      </c>
      <c r="F66" s="143">
        <f t="shared" si="43"/>
        <v>0.94142857142857139</v>
      </c>
      <c r="G66" s="146" t="s">
        <v>628</v>
      </c>
      <c r="H66" s="145">
        <v>964</v>
      </c>
      <c r="I66" s="144">
        <f t="shared" si="44"/>
        <v>2295.2380952380954</v>
      </c>
      <c r="J66" s="143">
        <f t="shared" si="45"/>
        <v>1.3771428571428572</v>
      </c>
      <c r="K66" s="146" t="s">
        <v>627</v>
      </c>
      <c r="L66" s="145">
        <v>1235</v>
      </c>
      <c r="M66" s="144">
        <f t="shared" si="46"/>
        <v>2940.4761904761904</v>
      </c>
      <c r="N66" s="143">
        <f t="shared" si="47"/>
        <v>1.7642857142857142</v>
      </c>
      <c r="O66" s="88"/>
      <c r="P66" s="88"/>
      <c r="Q66" s="88"/>
      <c r="R66" s="88"/>
      <c r="S66" s="88"/>
      <c r="T66" s="88"/>
    </row>
    <row r="67" spans="1:20">
      <c r="A67" s="148">
        <v>600</v>
      </c>
      <c r="B67" s="147">
        <v>800</v>
      </c>
      <c r="C67" s="146" t="s">
        <v>626</v>
      </c>
      <c r="D67" s="145">
        <v>756</v>
      </c>
      <c r="E67" s="144">
        <f t="shared" si="42"/>
        <v>1575</v>
      </c>
      <c r="F67" s="143">
        <f t="shared" si="43"/>
        <v>0.94499999999999995</v>
      </c>
      <c r="G67" s="146" t="s">
        <v>626</v>
      </c>
      <c r="H67" s="145">
        <v>1106</v>
      </c>
      <c r="I67" s="144">
        <f t="shared" si="44"/>
        <v>2304.166666666667</v>
      </c>
      <c r="J67" s="143">
        <f t="shared" si="45"/>
        <v>1.3825000000000001</v>
      </c>
      <c r="K67" s="146" t="s">
        <v>625</v>
      </c>
      <c r="L67" s="145">
        <v>1417</v>
      </c>
      <c r="M67" s="144">
        <f t="shared" si="46"/>
        <v>2952.0833333333335</v>
      </c>
      <c r="N67" s="143">
        <f t="shared" si="47"/>
        <v>1.77125</v>
      </c>
      <c r="O67" s="88"/>
      <c r="P67" s="88"/>
      <c r="Q67" s="88"/>
      <c r="R67" s="88"/>
      <c r="S67" s="88"/>
      <c r="T67" s="88"/>
    </row>
    <row r="68" spans="1:20">
      <c r="A68" s="148">
        <v>600</v>
      </c>
      <c r="B68" s="147">
        <v>900</v>
      </c>
      <c r="C68" s="146" t="s">
        <v>624</v>
      </c>
      <c r="D68" s="145">
        <v>852</v>
      </c>
      <c r="E68" s="144">
        <f t="shared" si="42"/>
        <v>1577.7777777777776</v>
      </c>
      <c r="F68" s="143">
        <f t="shared" si="43"/>
        <v>0.94666666666666666</v>
      </c>
      <c r="G68" s="146" t="s">
        <v>624</v>
      </c>
      <c r="H68" s="145">
        <v>1247</v>
      </c>
      <c r="I68" s="144">
        <f t="shared" si="44"/>
        <v>2309.2592592592591</v>
      </c>
      <c r="J68" s="143">
        <f t="shared" si="45"/>
        <v>1.3855555555555557</v>
      </c>
      <c r="K68" s="146" t="s">
        <v>623</v>
      </c>
      <c r="L68" s="145">
        <v>1598</v>
      </c>
      <c r="M68" s="144">
        <f t="shared" si="46"/>
        <v>2959.2592592592591</v>
      </c>
      <c r="N68" s="143">
        <f t="shared" si="47"/>
        <v>1.7755555555555556</v>
      </c>
      <c r="O68" s="88"/>
      <c r="P68" s="88"/>
      <c r="Q68" s="88"/>
      <c r="R68" s="88"/>
      <c r="S68" s="88"/>
      <c r="T68" s="88"/>
    </row>
    <row r="69" spans="1:20">
      <c r="A69" s="148">
        <v>600</v>
      </c>
      <c r="B69" s="147">
        <v>1000</v>
      </c>
      <c r="C69" s="146" t="s">
        <v>622</v>
      </c>
      <c r="D69" s="145">
        <v>949</v>
      </c>
      <c r="E69" s="144">
        <f t="shared" si="42"/>
        <v>1581.6666666666667</v>
      </c>
      <c r="F69" s="143">
        <f t="shared" si="43"/>
        <v>0.94899999999999995</v>
      </c>
      <c r="G69" s="146" t="s">
        <v>622</v>
      </c>
      <c r="H69" s="145">
        <v>1389</v>
      </c>
      <c r="I69" s="144">
        <f t="shared" si="44"/>
        <v>2315</v>
      </c>
      <c r="J69" s="143">
        <f t="shared" si="45"/>
        <v>1.389</v>
      </c>
      <c r="K69" s="146" t="s">
        <v>621</v>
      </c>
      <c r="L69" s="145">
        <v>1780</v>
      </c>
      <c r="M69" s="144">
        <f t="shared" si="46"/>
        <v>2966.666666666667</v>
      </c>
      <c r="N69" s="143">
        <f t="shared" si="47"/>
        <v>1.78</v>
      </c>
      <c r="O69" s="88"/>
      <c r="P69" s="88"/>
      <c r="Q69" s="88"/>
      <c r="R69" s="88"/>
      <c r="S69" s="88"/>
      <c r="T69" s="88"/>
    </row>
    <row r="70" spans="1:20">
      <c r="A70" s="148">
        <v>600</v>
      </c>
      <c r="B70" s="147">
        <v>1100</v>
      </c>
      <c r="C70" s="146" t="s">
        <v>620</v>
      </c>
      <c r="D70" s="145">
        <v>1046</v>
      </c>
      <c r="E70" s="144">
        <f t="shared" si="42"/>
        <v>1584.8484848484848</v>
      </c>
      <c r="F70" s="143">
        <f t="shared" si="43"/>
        <v>0.95090909090909093</v>
      </c>
      <c r="G70" s="146" t="s">
        <v>620</v>
      </c>
      <c r="H70" s="145">
        <v>1531</v>
      </c>
      <c r="I70" s="144">
        <f t="shared" si="44"/>
        <v>2319.6969696969695</v>
      </c>
      <c r="J70" s="143">
        <f t="shared" si="45"/>
        <v>1.3918181818181818</v>
      </c>
      <c r="K70" s="146" t="s">
        <v>619</v>
      </c>
      <c r="L70" s="145">
        <v>1962</v>
      </c>
      <c r="M70" s="144">
        <f t="shared" si="46"/>
        <v>2972.7272727272725</v>
      </c>
      <c r="N70" s="143">
        <f t="shared" si="47"/>
        <v>1.7836363636363637</v>
      </c>
      <c r="O70" s="88"/>
      <c r="P70" s="88"/>
      <c r="Q70" s="88"/>
      <c r="R70" s="88"/>
      <c r="S70" s="88"/>
      <c r="T70" s="88"/>
    </row>
    <row r="71" spans="1:20">
      <c r="A71" s="148">
        <v>600</v>
      </c>
      <c r="B71" s="147">
        <v>1200</v>
      </c>
      <c r="C71" s="146" t="s">
        <v>618</v>
      </c>
      <c r="D71" s="145">
        <v>1142</v>
      </c>
      <c r="E71" s="144">
        <f t="shared" si="42"/>
        <v>1586.1111111111111</v>
      </c>
      <c r="F71" s="143">
        <f t="shared" si="43"/>
        <v>0.95166666666666666</v>
      </c>
      <c r="G71" s="146" t="s">
        <v>618</v>
      </c>
      <c r="H71" s="145">
        <v>1672</v>
      </c>
      <c r="I71" s="144">
        <f t="shared" si="44"/>
        <v>2322.2222222222222</v>
      </c>
      <c r="J71" s="143">
        <f t="shared" si="45"/>
        <v>1.3933333333333333</v>
      </c>
      <c r="K71" s="146" t="s">
        <v>617</v>
      </c>
      <c r="L71" s="145">
        <v>2142</v>
      </c>
      <c r="M71" s="144">
        <f t="shared" si="46"/>
        <v>2975</v>
      </c>
      <c r="N71" s="143">
        <f t="shared" si="47"/>
        <v>1.7849999999999999</v>
      </c>
      <c r="O71" s="88"/>
      <c r="P71" s="88"/>
      <c r="Q71" s="88"/>
      <c r="R71" s="88"/>
      <c r="S71" s="88"/>
      <c r="T71" s="88"/>
    </row>
    <row r="72" spans="1:20">
      <c r="A72" s="148">
        <v>600</v>
      </c>
      <c r="B72" s="147">
        <v>1400</v>
      </c>
      <c r="C72" s="146" t="s">
        <v>616</v>
      </c>
      <c r="D72" s="145">
        <v>1336</v>
      </c>
      <c r="E72" s="144">
        <f t="shared" si="42"/>
        <v>1590.4761904761906</v>
      </c>
      <c r="F72" s="143">
        <f t="shared" si="43"/>
        <v>0.95428571428571429</v>
      </c>
      <c r="G72" s="146" t="s">
        <v>616</v>
      </c>
      <c r="H72" s="145">
        <v>1954</v>
      </c>
      <c r="I72" s="144">
        <f t="shared" si="44"/>
        <v>2326.1904761904761</v>
      </c>
      <c r="J72" s="143">
        <f t="shared" si="45"/>
        <v>1.3957142857142857</v>
      </c>
      <c r="K72" s="146" t="s">
        <v>615</v>
      </c>
      <c r="L72" s="145">
        <v>2504</v>
      </c>
      <c r="M72" s="144">
        <f t="shared" si="46"/>
        <v>2980.9523809523812</v>
      </c>
      <c r="N72" s="143">
        <f t="shared" si="47"/>
        <v>1.7885714285714285</v>
      </c>
      <c r="O72" s="88"/>
      <c r="P72" s="88"/>
      <c r="Q72" s="88"/>
      <c r="R72" s="88"/>
      <c r="S72" s="88"/>
      <c r="T72" s="88"/>
    </row>
    <row r="73" spans="1:20">
      <c r="A73" s="148">
        <v>600</v>
      </c>
      <c r="B73" s="147">
        <v>1600</v>
      </c>
      <c r="C73" s="146" t="s">
        <v>614</v>
      </c>
      <c r="D73" s="145">
        <v>1530</v>
      </c>
      <c r="E73" s="144">
        <f t="shared" si="42"/>
        <v>1593.75</v>
      </c>
      <c r="F73" s="143">
        <f t="shared" si="43"/>
        <v>0.95625000000000004</v>
      </c>
      <c r="G73" s="146" t="s">
        <v>614</v>
      </c>
      <c r="H73" s="145">
        <v>2239</v>
      </c>
      <c r="I73" s="144">
        <f t="shared" si="44"/>
        <v>2332.291666666667</v>
      </c>
      <c r="J73" s="143">
        <f t="shared" si="45"/>
        <v>1.399375</v>
      </c>
      <c r="K73" s="146" t="s">
        <v>613</v>
      </c>
      <c r="L73" s="145">
        <v>2868</v>
      </c>
      <c r="M73" s="144">
        <f t="shared" si="46"/>
        <v>2987.5</v>
      </c>
      <c r="N73" s="143">
        <f t="shared" si="47"/>
        <v>1.7925</v>
      </c>
      <c r="O73" s="88"/>
      <c r="P73" s="88"/>
      <c r="Q73" s="88"/>
      <c r="R73" s="88"/>
      <c r="S73" s="88"/>
      <c r="T73" s="88"/>
    </row>
    <row r="74" spans="1:20">
      <c r="A74" s="148">
        <v>600</v>
      </c>
      <c r="B74" s="147">
        <v>1800</v>
      </c>
      <c r="C74" s="146" t="s">
        <v>612</v>
      </c>
      <c r="D74" s="145">
        <v>1723</v>
      </c>
      <c r="E74" s="144">
        <f t="shared" si="42"/>
        <v>1595.3703703703702</v>
      </c>
      <c r="F74" s="143">
        <f t="shared" si="43"/>
        <v>0.9572222222222222</v>
      </c>
      <c r="G74" s="146" t="s">
        <v>612</v>
      </c>
      <c r="H74" s="145">
        <v>2521</v>
      </c>
      <c r="I74" s="144">
        <f t="shared" si="44"/>
        <v>2334.2592592592591</v>
      </c>
      <c r="J74" s="143">
        <f t="shared" si="45"/>
        <v>1.4005555555555556</v>
      </c>
      <c r="K74" s="146" t="s">
        <v>611</v>
      </c>
      <c r="L74" s="145">
        <v>3231</v>
      </c>
      <c r="M74" s="144">
        <f t="shared" si="46"/>
        <v>2991.6666666666665</v>
      </c>
      <c r="N74" s="143">
        <f t="shared" si="47"/>
        <v>1.7949999999999999</v>
      </c>
      <c r="O74" s="88"/>
      <c r="P74" s="88"/>
      <c r="Q74" s="88"/>
      <c r="R74" s="88"/>
      <c r="S74" s="88"/>
      <c r="T74" s="88"/>
    </row>
    <row r="75" spans="1:20">
      <c r="A75" s="148">
        <v>600</v>
      </c>
      <c r="B75" s="147">
        <v>2000</v>
      </c>
      <c r="C75" s="146" t="s">
        <v>610</v>
      </c>
      <c r="D75" s="145">
        <v>1916</v>
      </c>
      <c r="E75" s="144">
        <f t="shared" si="42"/>
        <v>1596.6666666666667</v>
      </c>
      <c r="F75" s="143">
        <f t="shared" si="43"/>
        <v>0.95799999999999996</v>
      </c>
      <c r="G75" s="146" t="s">
        <v>610</v>
      </c>
      <c r="H75" s="145">
        <v>2804</v>
      </c>
      <c r="I75" s="144">
        <f t="shared" si="44"/>
        <v>2336.666666666667</v>
      </c>
      <c r="J75" s="143">
        <f t="shared" si="45"/>
        <v>1.4019999999999999</v>
      </c>
      <c r="K75" s="146" t="s">
        <v>609</v>
      </c>
      <c r="L75" s="145">
        <v>3593</v>
      </c>
      <c r="M75" s="144">
        <f t="shared" si="46"/>
        <v>2994.166666666667</v>
      </c>
      <c r="N75" s="143">
        <f t="shared" si="47"/>
        <v>1.7965</v>
      </c>
      <c r="O75" s="88"/>
      <c r="P75" s="88"/>
      <c r="Q75" s="88"/>
      <c r="R75" s="88"/>
      <c r="S75" s="88"/>
      <c r="T75" s="88"/>
    </row>
    <row r="76" spans="1:20">
      <c r="A76" s="148"/>
      <c r="B76" s="147"/>
      <c r="C76" s="146"/>
      <c r="D76" s="145"/>
      <c r="E76" s="144"/>
      <c r="F76" s="143"/>
      <c r="G76" s="146"/>
      <c r="H76" s="145"/>
      <c r="I76" s="144"/>
      <c r="J76" s="143"/>
      <c r="K76" s="146"/>
      <c r="L76" s="145"/>
      <c r="M76" s="144"/>
      <c r="N76" s="143"/>
      <c r="O76" s="88"/>
      <c r="P76" s="88"/>
      <c r="Q76" s="88"/>
      <c r="R76" s="88"/>
      <c r="S76" s="88"/>
      <c r="T76" s="88"/>
    </row>
    <row r="77" spans="1:20">
      <c r="A77" s="148">
        <v>700</v>
      </c>
      <c r="B77" s="147">
        <v>400</v>
      </c>
      <c r="C77" s="146" t="s">
        <v>608</v>
      </c>
      <c r="D77" s="145">
        <v>418</v>
      </c>
      <c r="E77" s="144">
        <f t="shared" ref="E77:E89" si="48">D77/((A77*B77)/1000000)</f>
        <v>1492.8571428571427</v>
      </c>
      <c r="F77" s="143">
        <f t="shared" ref="F77:F89" si="49">D77/B77</f>
        <v>1.0449999999999999</v>
      </c>
      <c r="G77" s="146" t="s">
        <v>608</v>
      </c>
      <c r="H77" s="145">
        <v>615</v>
      </c>
      <c r="I77" s="144">
        <f t="shared" ref="I77:I89" si="50">H77/((A77*B77)/1000000)</f>
        <v>2196.4285714285711</v>
      </c>
      <c r="J77" s="143">
        <f t="shared" ref="J77:J89" si="51">H77/B77</f>
        <v>1.5375000000000001</v>
      </c>
      <c r="K77" s="146" t="s">
        <v>607</v>
      </c>
      <c r="L77" s="145">
        <v>783</v>
      </c>
      <c r="M77" s="144">
        <f t="shared" ref="M77:M89" si="52">L77/((A77*B77)/1000000)</f>
        <v>2796.4285714285711</v>
      </c>
      <c r="N77" s="143">
        <f t="shared" ref="N77:N89" si="53">L77/B77</f>
        <v>1.9575</v>
      </c>
      <c r="O77" s="88"/>
      <c r="P77" s="88"/>
      <c r="Q77" s="88"/>
      <c r="R77" s="88"/>
      <c r="S77" s="88"/>
      <c r="T77" s="88"/>
    </row>
    <row r="78" spans="1:20">
      <c r="A78" s="148">
        <v>700</v>
      </c>
      <c r="B78" s="147">
        <v>500</v>
      </c>
      <c r="C78" s="146" t="s">
        <v>606</v>
      </c>
      <c r="D78" s="145">
        <v>528</v>
      </c>
      <c r="E78" s="144">
        <f t="shared" si="48"/>
        <v>1508.5714285714287</v>
      </c>
      <c r="F78" s="143">
        <f t="shared" si="49"/>
        <v>1.056</v>
      </c>
      <c r="G78" s="146" t="s">
        <v>606</v>
      </c>
      <c r="H78" s="145">
        <v>777</v>
      </c>
      <c r="I78" s="144">
        <f t="shared" si="50"/>
        <v>2220</v>
      </c>
      <c r="J78" s="143">
        <f t="shared" si="51"/>
        <v>1.554</v>
      </c>
      <c r="K78" s="146" t="s">
        <v>605</v>
      </c>
      <c r="L78" s="145">
        <v>989</v>
      </c>
      <c r="M78" s="144">
        <f t="shared" si="52"/>
        <v>2825.7142857142858</v>
      </c>
      <c r="N78" s="143">
        <f t="shared" si="53"/>
        <v>1.978</v>
      </c>
      <c r="O78" s="88"/>
      <c r="P78" s="88"/>
      <c r="Q78" s="88"/>
      <c r="R78" s="88"/>
      <c r="S78" s="88"/>
      <c r="T78" s="88"/>
    </row>
    <row r="79" spans="1:20">
      <c r="A79" s="148">
        <v>700</v>
      </c>
      <c r="B79" s="147">
        <v>600</v>
      </c>
      <c r="C79" s="146" t="s">
        <v>604</v>
      </c>
      <c r="D79" s="145">
        <v>638</v>
      </c>
      <c r="E79" s="144">
        <f t="shared" si="48"/>
        <v>1519.047619047619</v>
      </c>
      <c r="F79" s="143">
        <f t="shared" si="49"/>
        <v>1.0633333333333332</v>
      </c>
      <c r="G79" s="146" t="s">
        <v>604</v>
      </c>
      <c r="H79" s="145">
        <v>939</v>
      </c>
      <c r="I79" s="144">
        <f t="shared" si="50"/>
        <v>2235.7142857142858</v>
      </c>
      <c r="J79" s="143">
        <f t="shared" si="51"/>
        <v>1.5649999999999999</v>
      </c>
      <c r="K79" s="146" t="s">
        <v>603</v>
      </c>
      <c r="L79" s="145">
        <v>1195</v>
      </c>
      <c r="M79" s="144">
        <f t="shared" si="52"/>
        <v>2845.2380952380954</v>
      </c>
      <c r="N79" s="143">
        <f t="shared" si="53"/>
        <v>1.9916666666666667</v>
      </c>
      <c r="O79" s="88"/>
      <c r="P79" s="88"/>
      <c r="Q79" s="88"/>
      <c r="R79" s="88"/>
      <c r="S79" s="88"/>
      <c r="T79" s="88"/>
    </row>
    <row r="80" spans="1:20">
      <c r="A80" s="148">
        <v>700</v>
      </c>
      <c r="B80" s="147">
        <v>700</v>
      </c>
      <c r="C80" s="146" t="s">
        <v>602</v>
      </c>
      <c r="D80" s="145">
        <v>747</v>
      </c>
      <c r="E80" s="144">
        <f t="shared" si="48"/>
        <v>1524.4897959183675</v>
      </c>
      <c r="F80" s="143">
        <f t="shared" si="49"/>
        <v>1.0671428571428572</v>
      </c>
      <c r="G80" s="146" t="s">
        <v>602</v>
      </c>
      <c r="H80" s="145">
        <v>1099</v>
      </c>
      <c r="I80" s="144">
        <f t="shared" si="50"/>
        <v>2242.8571428571431</v>
      </c>
      <c r="J80" s="143">
        <f t="shared" si="51"/>
        <v>1.57</v>
      </c>
      <c r="K80" s="146" t="s">
        <v>601</v>
      </c>
      <c r="L80" s="145">
        <v>1399</v>
      </c>
      <c r="M80" s="144">
        <f t="shared" si="52"/>
        <v>2855.1020408163267</v>
      </c>
      <c r="N80" s="143">
        <f t="shared" si="53"/>
        <v>1.9985714285714287</v>
      </c>
      <c r="O80" s="88"/>
      <c r="P80" s="88"/>
      <c r="Q80" s="88"/>
      <c r="R80" s="88"/>
      <c r="S80" s="88"/>
      <c r="T80" s="88"/>
    </row>
    <row r="81" spans="1:20">
      <c r="A81" s="148">
        <v>700</v>
      </c>
      <c r="B81" s="147">
        <v>800</v>
      </c>
      <c r="C81" s="146" t="s">
        <v>600</v>
      </c>
      <c r="D81" s="145">
        <v>858</v>
      </c>
      <c r="E81" s="144">
        <f t="shared" si="48"/>
        <v>1532.1428571428571</v>
      </c>
      <c r="F81" s="143">
        <f t="shared" si="49"/>
        <v>1.0725</v>
      </c>
      <c r="G81" s="146" t="s">
        <v>600</v>
      </c>
      <c r="H81" s="145">
        <v>1261</v>
      </c>
      <c r="I81" s="144">
        <f t="shared" si="50"/>
        <v>2251.7857142857142</v>
      </c>
      <c r="J81" s="143">
        <f t="shared" si="51"/>
        <v>1.5762499999999999</v>
      </c>
      <c r="K81" s="146" t="s">
        <v>599</v>
      </c>
      <c r="L81" s="145">
        <v>1605</v>
      </c>
      <c r="M81" s="144">
        <f t="shared" si="52"/>
        <v>2866.0714285714284</v>
      </c>
      <c r="N81" s="143">
        <f t="shared" si="53"/>
        <v>2.0062500000000001</v>
      </c>
      <c r="O81" s="88"/>
      <c r="P81" s="88"/>
      <c r="Q81" s="88"/>
      <c r="R81" s="88"/>
      <c r="S81" s="88"/>
      <c r="T81" s="88"/>
    </row>
    <row r="82" spans="1:20">
      <c r="A82" s="148">
        <v>700</v>
      </c>
      <c r="B82" s="147">
        <v>900</v>
      </c>
      <c r="C82" s="146" t="s">
        <v>598</v>
      </c>
      <c r="D82" s="145">
        <v>967</v>
      </c>
      <c r="E82" s="144">
        <f t="shared" si="48"/>
        <v>1534.9206349206349</v>
      </c>
      <c r="F82" s="143">
        <f t="shared" si="49"/>
        <v>1.0744444444444445</v>
      </c>
      <c r="G82" s="146" t="s">
        <v>598</v>
      </c>
      <c r="H82" s="145">
        <v>1421</v>
      </c>
      <c r="I82" s="144">
        <f t="shared" si="50"/>
        <v>2255.5555555555557</v>
      </c>
      <c r="J82" s="143">
        <f t="shared" si="51"/>
        <v>1.5788888888888888</v>
      </c>
      <c r="K82" s="146" t="s">
        <v>597</v>
      </c>
      <c r="L82" s="145">
        <v>1810</v>
      </c>
      <c r="M82" s="144">
        <f t="shared" si="52"/>
        <v>2873.0158730158728</v>
      </c>
      <c r="N82" s="143">
        <f t="shared" si="53"/>
        <v>2.0111111111111111</v>
      </c>
      <c r="O82" s="88"/>
      <c r="P82" s="88"/>
      <c r="Q82" s="88"/>
      <c r="R82" s="88"/>
      <c r="S82" s="88"/>
      <c r="T82" s="88"/>
    </row>
    <row r="83" spans="1:20">
      <c r="A83" s="148">
        <v>700</v>
      </c>
      <c r="B83" s="147">
        <v>1000</v>
      </c>
      <c r="C83" s="146" t="s">
        <v>596</v>
      </c>
      <c r="D83" s="145">
        <v>1077</v>
      </c>
      <c r="E83" s="144">
        <f t="shared" si="48"/>
        <v>1538.5714285714287</v>
      </c>
      <c r="F83" s="143">
        <f t="shared" si="49"/>
        <v>1.077</v>
      </c>
      <c r="G83" s="146" t="s">
        <v>596</v>
      </c>
      <c r="H83" s="145">
        <v>1583</v>
      </c>
      <c r="I83" s="144">
        <f t="shared" si="50"/>
        <v>2261.4285714285716</v>
      </c>
      <c r="J83" s="143">
        <f t="shared" si="51"/>
        <v>1.583</v>
      </c>
      <c r="K83" s="146" t="s">
        <v>595</v>
      </c>
      <c r="L83" s="145">
        <v>2016</v>
      </c>
      <c r="M83" s="144">
        <f t="shared" si="52"/>
        <v>2880</v>
      </c>
      <c r="N83" s="143">
        <f t="shared" si="53"/>
        <v>2.016</v>
      </c>
      <c r="O83" s="88"/>
      <c r="P83" s="88"/>
      <c r="Q83" s="88"/>
      <c r="R83" s="88"/>
      <c r="S83" s="88"/>
      <c r="T83" s="88"/>
    </row>
    <row r="84" spans="1:20">
      <c r="A84" s="148">
        <v>700</v>
      </c>
      <c r="B84" s="147">
        <v>1100</v>
      </c>
      <c r="C84" s="146" t="s">
        <v>594</v>
      </c>
      <c r="D84" s="145">
        <v>1187</v>
      </c>
      <c r="E84" s="144">
        <f t="shared" si="48"/>
        <v>1541.5584415584415</v>
      </c>
      <c r="F84" s="143">
        <f t="shared" si="49"/>
        <v>1.0790909090909091</v>
      </c>
      <c r="G84" s="146" t="s">
        <v>594</v>
      </c>
      <c r="H84" s="145">
        <v>1745</v>
      </c>
      <c r="I84" s="144">
        <f t="shared" si="50"/>
        <v>2266.2337662337663</v>
      </c>
      <c r="J84" s="143">
        <f t="shared" si="51"/>
        <v>1.5863636363636364</v>
      </c>
      <c r="K84" s="146" t="s">
        <v>593</v>
      </c>
      <c r="L84" s="145">
        <v>2222</v>
      </c>
      <c r="M84" s="144">
        <f t="shared" si="52"/>
        <v>2885.7142857142858</v>
      </c>
      <c r="N84" s="143">
        <f t="shared" si="53"/>
        <v>2.02</v>
      </c>
      <c r="O84" s="88"/>
      <c r="P84" s="88"/>
      <c r="Q84" s="88"/>
      <c r="R84" s="88"/>
      <c r="S84" s="88"/>
      <c r="T84" s="88"/>
    </row>
    <row r="85" spans="1:20">
      <c r="A85" s="148">
        <v>700</v>
      </c>
      <c r="B85" s="147">
        <v>1200</v>
      </c>
      <c r="C85" s="146" t="s">
        <v>592</v>
      </c>
      <c r="D85" s="145">
        <v>1296</v>
      </c>
      <c r="E85" s="144">
        <f t="shared" si="48"/>
        <v>1542.8571428571429</v>
      </c>
      <c r="F85" s="143">
        <f t="shared" si="49"/>
        <v>1.08</v>
      </c>
      <c r="G85" s="146" t="s">
        <v>592</v>
      </c>
      <c r="H85" s="145">
        <v>1906</v>
      </c>
      <c r="I85" s="144">
        <f t="shared" si="50"/>
        <v>2269.0476190476193</v>
      </c>
      <c r="J85" s="143">
        <f t="shared" si="51"/>
        <v>1.5883333333333334</v>
      </c>
      <c r="K85" s="146" t="s">
        <v>591</v>
      </c>
      <c r="L85" s="145">
        <v>2426</v>
      </c>
      <c r="M85" s="144">
        <f t="shared" si="52"/>
        <v>2888.0952380952381</v>
      </c>
      <c r="N85" s="143">
        <f t="shared" si="53"/>
        <v>2.0216666666666665</v>
      </c>
      <c r="O85" s="88"/>
      <c r="P85" s="88"/>
      <c r="Q85" s="88"/>
      <c r="R85" s="88"/>
      <c r="S85" s="88"/>
      <c r="T85" s="88"/>
    </row>
    <row r="86" spans="1:20">
      <c r="A86" s="148">
        <v>700</v>
      </c>
      <c r="B86" s="147">
        <v>1400</v>
      </c>
      <c r="C86" s="146" t="s">
        <v>590</v>
      </c>
      <c r="D86" s="145">
        <v>1515</v>
      </c>
      <c r="E86" s="144">
        <f t="shared" si="48"/>
        <v>1545.9183673469388</v>
      </c>
      <c r="F86" s="143">
        <f t="shared" si="49"/>
        <v>1.0821428571428571</v>
      </c>
      <c r="G86" s="146" t="s">
        <v>590</v>
      </c>
      <c r="H86" s="145">
        <v>2228</v>
      </c>
      <c r="I86" s="144">
        <f t="shared" si="50"/>
        <v>2273.4693877551022</v>
      </c>
      <c r="J86" s="143">
        <f t="shared" si="51"/>
        <v>1.5914285714285714</v>
      </c>
      <c r="K86" s="146" t="s">
        <v>589</v>
      </c>
      <c r="L86" s="145">
        <v>2837</v>
      </c>
      <c r="M86" s="144">
        <f t="shared" si="52"/>
        <v>2894.8979591836737</v>
      </c>
      <c r="N86" s="143">
        <f t="shared" si="53"/>
        <v>2.0264285714285712</v>
      </c>
      <c r="O86" s="88"/>
      <c r="P86" s="88"/>
      <c r="Q86" s="88"/>
      <c r="R86" s="88"/>
      <c r="S86" s="88"/>
      <c r="T86" s="88"/>
    </row>
    <row r="87" spans="1:20">
      <c r="A87" s="148">
        <v>700</v>
      </c>
      <c r="B87" s="147">
        <v>1600</v>
      </c>
      <c r="C87" s="146" t="s">
        <v>588</v>
      </c>
      <c r="D87" s="145">
        <v>1736</v>
      </c>
      <c r="E87" s="144">
        <f t="shared" si="48"/>
        <v>1549.9999999999998</v>
      </c>
      <c r="F87" s="143">
        <f t="shared" si="49"/>
        <v>1.085</v>
      </c>
      <c r="G87" s="146" t="s">
        <v>588</v>
      </c>
      <c r="H87" s="145">
        <v>2552</v>
      </c>
      <c r="I87" s="144">
        <f t="shared" si="50"/>
        <v>2278.5714285714284</v>
      </c>
      <c r="J87" s="143">
        <f t="shared" si="51"/>
        <v>1.595</v>
      </c>
      <c r="K87" s="146" t="s">
        <v>587</v>
      </c>
      <c r="L87" s="145">
        <v>3249</v>
      </c>
      <c r="M87" s="144">
        <f t="shared" si="52"/>
        <v>2900.8928571428569</v>
      </c>
      <c r="N87" s="143">
        <f t="shared" si="53"/>
        <v>2.0306250000000001</v>
      </c>
      <c r="O87" s="88"/>
      <c r="P87" s="88"/>
      <c r="Q87" s="88"/>
      <c r="R87" s="88"/>
      <c r="S87" s="88"/>
      <c r="T87" s="88"/>
    </row>
    <row r="88" spans="1:20">
      <c r="A88" s="148">
        <v>700</v>
      </c>
      <c r="B88" s="147">
        <v>1800</v>
      </c>
      <c r="C88" s="146" t="s">
        <v>586</v>
      </c>
      <c r="D88" s="145">
        <v>1955</v>
      </c>
      <c r="E88" s="144">
        <f t="shared" si="48"/>
        <v>1551.5873015873017</v>
      </c>
      <c r="F88" s="143">
        <f t="shared" si="49"/>
        <v>1.086111111111111</v>
      </c>
      <c r="G88" s="146" t="s">
        <v>586</v>
      </c>
      <c r="H88" s="145">
        <v>2874</v>
      </c>
      <c r="I88" s="144">
        <f t="shared" si="50"/>
        <v>2280.9523809523807</v>
      </c>
      <c r="J88" s="143">
        <f t="shared" si="51"/>
        <v>1.5966666666666667</v>
      </c>
      <c r="K88" s="146" t="s">
        <v>585</v>
      </c>
      <c r="L88" s="145">
        <v>3660</v>
      </c>
      <c r="M88" s="144">
        <f t="shared" si="52"/>
        <v>2904.7619047619046</v>
      </c>
      <c r="N88" s="143">
        <f t="shared" si="53"/>
        <v>2.0333333333333332</v>
      </c>
      <c r="O88" s="88"/>
      <c r="P88" s="88"/>
      <c r="Q88" s="88"/>
      <c r="R88" s="88"/>
      <c r="S88" s="88"/>
      <c r="T88" s="88"/>
    </row>
    <row r="89" spans="1:20" ht="15.75" thickBot="1">
      <c r="A89" s="142">
        <v>700</v>
      </c>
      <c r="B89" s="141">
        <v>2000</v>
      </c>
      <c r="C89" s="140" t="s">
        <v>584</v>
      </c>
      <c r="D89" s="139">
        <v>2174</v>
      </c>
      <c r="E89" s="138">
        <f t="shared" si="48"/>
        <v>1552.8571428571429</v>
      </c>
      <c r="F89" s="137">
        <f t="shared" si="49"/>
        <v>1.087</v>
      </c>
      <c r="G89" s="140" t="s">
        <v>584</v>
      </c>
      <c r="H89" s="139">
        <v>3197</v>
      </c>
      <c r="I89" s="138">
        <f t="shared" si="50"/>
        <v>2283.5714285714289</v>
      </c>
      <c r="J89" s="137">
        <f t="shared" si="51"/>
        <v>1.5985</v>
      </c>
      <c r="K89" s="140" t="s">
        <v>583</v>
      </c>
      <c r="L89" s="139">
        <v>4070</v>
      </c>
      <c r="M89" s="138">
        <f t="shared" si="52"/>
        <v>2907.1428571428573</v>
      </c>
      <c r="N89" s="137">
        <f t="shared" si="53"/>
        <v>2.0350000000000001</v>
      </c>
      <c r="O89" s="88"/>
      <c r="P89" s="88"/>
      <c r="Q89" s="88"/>
      <c r="R89" s="88"/>
      <c r="S89" s="88"/>
      <c r="T89" s="88"/>
    </row>
    <row r="90" spans="1:20">
      <c r="R90"/>
      <c r="S90" s="88"/>
      <c r="T90" s="88"/>
    </row>
    <row r="91" spans="1:20" ht="12.75">
      <c r="F91" s="88"/>
      <c r="I91" s="88"/>
      <c r="J91" s="88"/>
      <c r="K91" s="88"/>
      <c r="L91" s="88"/>
      <c r="M91" s="88"/>
      <c r="N91" s="88"/>
      <c r="O91" s="88"/>
      <c r="P91" s="88"/>
      <c r="Q91" s="88"/>
      <c r="R91" s="88"/>
      <c r="S91" s="88"/>
      <c r="T91" s="88"/>
    </row>
    <row r="92" spans="1:20" ht="12.75">
      <c r="F92" s="88"/>
      <c r="I92" s="88"/>
      <c r="J92" s="88"/>
      <c r="K92" s="88"/>
      <c r="L92" s="88"/>
      <c r="M92" s="88"/>
      <c r="N92" s="88"/>
      <c r="O92" s="88"/>
      <c r="P92" s="88"/>
      <c r="Q92" s="88"/>
      <c r="R92" s="88"/>
      <c r="S92" s="88"/>
      <c r="T92" s="88"/>
    </row>
    <row r="93" spans="1:20" ht="12.75">
      <c r="F93" s="88"/>
      <c r="I93" s="88"/>
      <c r="J93" s="88"/>
      <c r="K93" s="88"/>
      <c r="L93" s="88"/>
      <c r="M93" s="88"/>
      <c r="N93" s="88"/>
      <c r="O93" s="88"/>
      <c r="P93" s="88"/>
      <c r="Q93" s="88"/>
      <c r="R93" s="88"/>
      <c r="S93" s="88"/>
      <c r="T93" s="88"/>
    </row>
    <row r="94" spans="1:20" ht="12.75">
      <c r="F94" s="88"/>
      <c r="I94" s="88"/>
      <c r="J94" s="88"/>
      <c r="K94" s="88"/>
      <c r="L94" s="88"/>
      <c r="M94" s="88"/>
      <c r="N94" s="88"/>
      <c r="O94" s="88"/>
      <c r="P94" s="88"/>
      <c r="Q94" s="88"/>
      <c r="R94" s="88"/>
      <c r="S94" s="88"/>
      <c r="T94" s="88"/>
    </row>
    <row r="95" spans="1:20" ht="12.75">
      <c r="F95" s="88"/>
      <c r="I95" s="88"/>
      <c r="J95" s="88"/>
      <c r="K95" s="88"/>
      <c r="L95" s="88"/>
      <c r="M95" s="88"/>
      <c r="N95" s="88"/>
      <c r="O95" s="88"/>
      <c r="P95" s="88"/>
      <c r="Q95" s="88"/>
      <c r="R95" s="88"/>
      <c r="S95" s="88"/>
      <c r="T95" s="88"/>
    </row>
    <row r="96" spans="1:20" ht="12.75">
      <c r="F96" s="88"/>
      <c r="I96" s="88"/>
      <c r="J96" s="88"/>
      <c r="K96" s="88"/>
      <c r="L96" s="88"/>
      <c r="M96" s="88"/>
      <c r="N96" s="88"/>
      <c r="O96" s="88"/>
      <c r="P96" s="88"/>
      <c r="Q96" s="88"/>
      <c r="R96" s="88"/>
      <c r="S96" s="88"/>
      <c r="T96" s="88"/>
    </row>
    <row r="97" spans="6:20" ht="12.75">
      <c r="F97" s="88"/>
      <c r="I97" s="88"/>
      <c r="J97" s="88"/>
      <c r="K97" s="88"/>
      <c r="L97" s="88"/>
      <c r="M97" s="88"/>
      <c r="N97" s="88"/>
      <c r="O97" s="88"/>
      <c r="P97" s="88"/>
      <c r="Q97" s="88"/>
      <c r="R97" s="88"/>
      <c r="S97" s="88"/>
      <c r="T97" s="88"/>
    </row>
    <row r="98" spans="6:20" ht="12.75">
      <c r="F98" s="88"/>
      <c r="I98" s="88"/>
      <c r="J98" s="88"/>
      <c r="K98" s="88"/>
      <c r="L98" s="88"/>
      <c r="M98" s="88"/>
      <c r="N98" s="88"/>
      <c r="O98" s="88"/>
      <c r="P98" s="88"/>
      <c r="Q98" s="88"/>
      <c r="R98" s="88"/>
      <c r="S98" s="88"/>
      <c r="T98" s="88"/>
    </row>
    <row r="99" spans="6:20" ht="12.75">
      <c r="F99" s="88"/>
      <c r="I99" s="88"/>
      <c r="J99" s="88"/>
      <c r="K99" s="88"/>
      <c r="L99" s="88"/>
      <c r="M99" s="88"/>
      <c r="N99" s="88"/>
      <c r="O99" s="88"/>
      <c r="P99" s="88"/>
      <c r="Q99" s="88"/>
      <c r="R99" s="88"/>
      <c r="S99" s="88"/>
      <c r="T99" s="88"/>
    </row>
    <row r="100" spans="6:20" ht="12.75">
      <c r="F100" s="88"/>
      <c r="I100" s="88"/>
      <c r="J100" s="88"/>
      <c r="K100" s="88"/>
      <c r="L100" s="88"/>
      <c r="M100" s="88"/>
      <c r="N100" s="88"/>
      <c r="O100" s="88"/>
      <c r="P100" s="88"/>
      <c r="Q100" s="88"/>
      <c r="R100" s="88"/>
      <c r="S100" s="88"/>
      <c r="T100" s="88"/>
    </row>
    <row r="101" spans="6:20" ht="12.75">
      <c r="F101" s="88"/>
      <c r="I101" s="88"/>
      <c r="J101" s="88"/>
      <c r="K101" s="88"/>
      <c r="L101" s="88"/>
      <c r="M101" s="88"/>
      <c r="N101" s="88"/>
      <c r="O101" s="88"/>
      <c r="P101" s="88"/>
      <c r="Q101" s="88"/>
      <c r="R101" s="88"/>
      <c r="S101" s="88"/>
      <c r="T101" s="88"/>
    </row>
    <row r="102" spans="6:20" ht="12.75">
      <c r="F102" s="88"/>
      <c r="I102" s="88"/>
      <c r="J102" s="88"/>
      <c r="K102" s="88"/>
      <c r="L102" s="88"/>
      <c r="M102" s="88"/>
      <c r="N102" s="88"/>
      <c r="O102" s="88"/>
      <c r="P102" s="88"/>
      <c r="Q102" s="88"/>
      <c r="R102" s="88"/>
      <c r="S102" s="88"/>
      <c r="T102" s="88"/>
    </row>
    <row r="103" spans="6:20" ht="12.75">
      <c r="F103" s="88"/>
      <c r="I103" s="88"/>
      <c r="J103" s="88"/>
      <c r="K103" s="88"/>
      <c r="L103" s="88"/>
      <c r="M103" s="88"/>
      <c r="N103" s="88"/>
      <c r="O103" s="88"/>
      <c r="P103" s="88"/>
      <c r="Q103" s="88"/>
      <c r="R103" s="88"/>
      <c r="S103" s="88"/>
      <c r="T103" s="88"/>
    </row>
    <row r="104" spans="6:20" ht="12.75">
      <c r="F104" s="88"/>
      <c r="I104" s="88"/>
      <c r="J104" s="88"/>
      <c r="K104" s="88"/>
      <c r="L104" s="88"/>
      <c r="M104" s="88"/>
      <c r="N104" s="88"/>
      <c r="O104" s="88"/>
      <c r="P104" s="88"/>
      <c r="Q104" s="88"/>
      <c r="R104" s="88"/>
      <c r="S104" s="88"/>
      <c r="T104" s="88"/>
    </row>
    <row r="105" spans="6:20" ht="12.75">
      <c r="F105" s="88"/>
      <c r="I105" s="88"/>
      <c r="J105" s="88"/>
      <c r="K105" s="88"/>
      <c r="L105" s="88"/>
      <c r="M105" s="88"/>
      <c r="N105" s="88"/>
      <c r="O105" s="88"/>
      <c r="P105" s="88"/>
      <c r="Q105" s="88"/>
      <c r="R105" s="88"/>
      <c r="S105" s="88"/>
      <c r="T105" s="88"/>
    </row>
    <row r="106" spans="6:20" ht="12.75">
      <c r="F106" s="88"/>
      <c r="I106" s="88"/>
      <c r="J106" s="88"/>
      <c r="K106" s="88"/>
      <c r="L106" s="88"/>
      <c r="M106" s="88"/>
      <c r="N106" s="88"/>
      <c r="O106" s="88"/>
      <c r="P106" s="88"/>
      <c r="Q106" s="88"/>
      <c r="R106" s="88"/>
      <c r="S106" s="88"/>
      <c r="T106" s="88"/>
    </row>
    <row r="107" spans="6:20" ht="12.75">
      <c r="F107" s="88"/>
      <c r="I107" s="88"/>
      <c r="J107" s="88"/>
      <c r="K107" s="88"/>
      <c r="L107" s="88"/>
      <c r="M107" s="88"/>
      <c r="N107" s="88"/>
      <c r="O107" s="88"/>
      <c r="P107" s="88"/>
      <c r="Q107" s="88"/>
      <c r="R107" s="88"/>
      <c r="S107" s="88"/>
      <c r="T107" s="88"/>
    </row>
    <row r="108" spans="6:20" ht="12.75">
      <c r="F108" s="88"/>
      <c r="I108" s="88"/>
      <c r="J108" s="88"/>
      <c r="K108" s="88"/>
      <c r="L108" s="88"/>
      <c r="M108" s="88"/>
      <c r="N108" s="88"/>
      <c r="O108" s="88"/>
      <c r="P108" s="88"/>
      <c r="Q108" s="88"/>
      <c r="R108" s="88"/>
      <c r="S108" s="88"/>
      <c r="T108" s="88"/>
    </row>
    <row r="109" spans="6:20" ht="12.75">
      <c r="F109" s="88"/>
      <c r="I109" s="88"/>
      <c r="J109" s="88"/>
      <c r="K109" s="88"/>
      <c r="L109" s="88"/>
      <c r="M109" s="88"/>
      <c r="N109" s="88"/>
      <c r="O109" s="88"/>
      <c r="P109" s="88"/>
      <c r="Q109" s="88"/>
      <c r="R109" s="88"/>
      <c r="S109" s="88"/>
      <c r="T109" s="88"/>
    </row>
    <row r="110" spans="6:20" ht="12.75">
      <c r="F110" s="88"/>
      <c r="I110" s="88"/>
      <c r="J110" s="88"/>
      <c r="K110" s="88"/>
      <c r="L110" s="88"/>
      <c r="M110" s="88"/>
      <c r="N110" s="88"/>
      <c r="O110" s="88"/>
      <c r="P110" s="88"/>
      <c r="Q110" s="88"/>
      <c r="R110" s="88"/>
      <c r="S110" s="88"/>
      <c r="T110" s="88"/>
    </row>
    <row r="111" spans="6:20" ht="12.75">
      <c r="F111" s="88"/>
      <c r="I111" s="88"/>
      <c r="J111" s="88"/>
      <c r="K111" s="88"/>
      <c r="L111" s="88"/>
      <c r="M111" s="88"/>
      <c r="N111" s="88"/>
      <c r="O111" s="88"/>
      <c r="P111" s="88"/>
      <c r="Q111" s="88"/>
      <c r="R111" s="88"/>
      <c r="S111" s="88"/>
      <c r="T111" s="88"/>
    </row>
    <row r="112" spans="6:20" ht="12.75">
      <c r="F112" s="88"/>
      <c r="I112" s="88"/>
      <c r="J112" s="88"/>
      <c r="K112" s="88"/>
      <c r="L112" s="88"/>
      <c r="M112" s="88"/>
      <c r="N112" s="88"/>
      <c r="O112" s="88"/>
      <c r="P112" s="88"/>
      <c r="Q112" s="88"/>
      <c r="R112" s="88"/>
      <c r="S112" s="88"/>
      <c r="T112" s="88"/>
    </row>
    <row r="113" spans="6:20" ht="12.75">
      <c r="F113" s="88"/>
      <c r="I113" s="88"/>
      <c r="J113" s="88"/>
      <c r="K113" s="88"/>
      <c r="L113" s="88"/>
      <c r="M113" s="88"/>
      <c r="N113" s="88"/>
      <c r="O113" s="88"/>
      <c r="P113" s="88"/>
      <c r="Q113" s="88"/>
      <c r="R113" s="88"/>
      <c r="S113" s="88"/>
      <c r="T113" s="88"/>
    </row>
    <row r="114" spans="6:20" ht="12.75">
      <c r="F114" s="88"/>
      <c r="I114" s="88"/>
      <c r="J114" s="88"/>
      <c r="K114" s="88"/>
      <c r="L114" s="88"/>
      <c r="M114" s="88"/>
      <c r="N114" s="88"/>
      <c r="O114" s="88"/>
      <c r="P114" s="88"/>
      <c r="Q114" s="88"/>
      <c r="R114" s="88"/>
      <c r="S114" s="88"/>
      <c r="T114" s="88"/>
    </row>
    <row r="115" spans="6:20" ht="12.75">
      <c r="F115" s="88"/>
      <c r="I115" s="88"/>
      <c r="J115" s="88"/>
      <c r="K115" s="88"/>
      <c r="L115" s="88"/>
      <c r="M115" s="88"/>
      <c r="N115" s="88"/>
      <c r="O115" s="88"/>
      <c r="P115" s="88"/>
      <c r="Q115" s="88"/>
      <c r="R115" s="88"/>
      <c r="S115" s="88"/>
      <c r="T115" s="88"/>
    </row>
    <row r="116" spans="6:20" ht="12.75">
      <c r="F116" s="88"/>
      <c r="I116" s="88"/>
      <c r="J116" s="88"/>
      <c r="K116" s="88"/>
      <c r="L116" s="88"/>
      <c r="M116" s="88"/>
      <c r="N116" s="88"/>
      <c r="O116" s="88"/>
      <c r="P116" s="88"/>
      <c r="Q116" s="88"/>
      <c r="R116" s="88"/>
      <c r="S116" s="88"/>
      <c r="T116" s="88"/>
    </row>
    <row r="117" spans="6:20" ht="12.75">
      <c r="F117" s="88"/>
      <c r="I117" s="88"/>
      <c r="J117" s="88"/>
      <c r="K117" s="88"/>
      <c r="L117" s="88"/>
      <c r="M117" s="88"/>
      <c r="N117" s="88"/>
      <c r="O117" s="88"/>
      <c r="P117" s="88"/>
      <c r="Q117" s="88"/>
      <c r="R117" s="88"/>
      <c r="S117" s="88"/>
      <c r="T117" s="88"/>
    </row>
    <row r="118" spans="6:20" ht="12.75">
      <c r="F118" s="88"/>
      <c r="I118" s="88"/>
      <c r="J118" s="88"/>
      <c r="K118" s="88"/>
      <c r="L118" s="88"/>
      <c r="M118" s="88"/>
      <c r="N118" s="88"/>
      <c r="O118" s="88"/>
      <c r="P118" s="88"/>
      <c r="Q118" s="88"/>
      <c r="R118" s="88"/>
      <c r="S118" s="88"/>
      <c r="T118" s="88"/>
    </row>
    <row r="119" spans="6:20" ht="12.75">
      <c r="F119" s="88"/>
      <c r="I119" s="88"/>
      <c r="J119" s="88"/>
      <c r="K119" s="88"/>
      <c r="L119" s="88"/>
      <c r="M119" s="88"/>
      <c r="N119" s="88"/>
      <c r="O119" s="88"/>
      <c r="P119" s="88"/>
      <c r="Q119" s="88"/>
      <c r="R119" s="88"/>
      <c r="S119" s="88"/>
      <c r="T119" s="88"/>
    </row>
    <row r="120" spans="6:20" ht="12.75">
      <c r="F120" s="88"/>
      <c r="I120" s="88"/>
      <c r="J120" s="88"/>
      <c r="K120" s="88"/>
      <c r="L120" s="88"/>
      <c r="M120" s="88"/>
      <c r="N120" s="88"/>
      <c r="O120" s="88"/>
      <c r="P120" s="88"/>
      <c r="Q120" s="88"/>
      <c r="R120" s="88"/>
      <c r="S120" s="88"/>
      <c r="T120" s="88"/>
    </row>
    <row r="121" spans="6:20" ht="12.75">
      <c r="F121" s="88"/>
      <c r="I121" s="88"/>
      <c r="J121" s="88"/>
      <c r="K121" s="88"/>
      <c r="L121" s="88"/>
      <c r="M121" s="88"/>
      <c r="N121" s="88"/>
      <c r="O121" s="88"/>
      <c r="P121" s="88"/>
      <c r="Q121" s="88"/>
      <c r="R121" s="88"/>
      <c r="S121" s="88"/>
      <c r="T121" s="88"/>
    </row>
    <row r="122" spans="6:20" ht="12.75">
      <c r="F122" s="88"/>
      <c r="I122" s="88"/>
      <c r="J122" s="88"/>
      <c r="K122" s="88"/>
      <c r="L122" s="88"/>
      <c r="M122" s="88"/>
      <c r="N122" s="88"/>
      <c r="O122" s="88"/>
      <c r="P122" s="88"/>
      <c r="Q122" s="88"/>
      <c r="R122" s="88"/>
      <c r="S122" s="88"/>
      <c r="T122" s="88"/>
    </row>
    <row r="123" spans="6:20" ht="12.75">
      <c r="F123" s="88"/>
      <c r="I123" s="88"/>
      <c r="J123" s="88"/>
      <c r="K123" s="88"/>
      <c r="L123" s="88"/>
      <c r="M123" s="88"/>
      <c r="N123" s="88"/>
      <c r="O123" s="88"/>
      <c r="P123" s="88"/>
      <c r="Q123" s="88"/>
      <c r="R123" s="88"/>
      <c r="S123" s="88"/>
      <c r="T123" s="88"/>
    </row>
    <row r="124" spans="6:20" ht="12.75">
      <c r="F124" s="88"/>
      <c r="I124" s="88"/>
      <c r="J124" s="88"/>
      <c r="K124" s="88"/>
      <c r="L124" s="88"/>
      <c r="M124" s="88"/>
      <c r="N124" s="88"/>
      <c r="O124" s="88"/>
      <c r="P124" s="88"/>
      <c r="Q124" s="88"/>
      <c r="R124" s="88"/>
      <c r="S124" s="88"/>
      <c r="T124" s="88"/>
    </row>
    <row r="125" spans="6:20" ht="12.75">
      <c r="F125" s="88"/>
      <c r="I125" s="88"/>
      <c r="J125" s="88"/>
      <c r="K125" s="88"/>
      <c r="L125" s="88"/>
      <c r="M125" s="88"/>
      <c r="N125" s="88"/>
      <c r="O125" s="88"/>
      <c r="P125" s="88"/>
      <c r="Q125" s="88"/>
      <c r="R125" s="88"/>
      <c r="S125" s="88"/>
      <c r="T125" s="88"/>
    </row>
    <row r="126" spans="6:20" ht="12.75">
      <c r="F126" s="88"/>
      <c r="I126" s="88"/>
      <c r="J126" s="88"/>
      <c r="K126" s="88"/>
      <c r="L126" s="88"/>
      <c r="M126" s="88"/>
      <c r="N126" s="88"/>
      <c r="O126" s="88"/>
      <c r="P126" s="88"/>
      <c r="Q126" s="88"/>
      <c r="R126" s="88"/>
      <c r="S126" s="88"/>
      <c r="T126" s="88"/>
    </row>
    <row r="127" spans="6:20" ht="12.75">
      <c r="F127" s="88"/>
      <c r="I127" s="88"/>
      <c r="J127" s="88"/>
      <c r="K127" s="88"/>
      <c r="L127" s="88"/>
      <c r="M127" s="88"/>
      <c r="N127" s="88"/>
      <c r="O127" s="88"/>
      <c r="P127" s="88"/>
      <c r="Q127" s="88"/>
      <c r="R127" s="88"/>
      <c r="S127" s="88"/>
      <c r="T127" s="88"/>
    </row>
    <row r="128" spans="6:20" ht="12.75">
      <c r="F128" s="88"/>
      <c r="I128" s="88"/>
      <c r="J128" s="88"/>
      <c r="K128" s="88"/>
      <c r="L128" s="88"/>
      <c r="M128" s="88"/>
      <c r="N128" s="88"/>
      <c r="O128" s="88"/>
      <c r="P128" s="88"/>
      <c r="Q128" s="88"/>
      <c r="R128" s="88"/>
      <c r="S128" s="88"/>
      <c r="T128" s="88"/>
    </row>
    <row r="129" spans="6:20" ht="12.75">
      <c r="F129" s="88"/>
      <c r="I129" s="88"/>
      <c r="J129" s="88"/>
      <c r="K129" s="88"/>
      <c r="L129" s="88"/>
      <c r="M129" s="88"/>
      <c r="N129" s="88"/>
      <c r="O129" s="88"/>
      <c r="P129" s="88"/>
      <c r="Q129" s="88"/>
      <c r="R129" s="88"/>
      <c r="S129" s="88"/>
      <c r="T129" s="88"/>
    </row>
    <row r="130" spans="6:20" ht="12.75">
      <c r="F130" s="88"/>
      <c r="I130" s="88"/>
      <c r="J130" s="88"/>
      <c r="K130" s="88"/>
      <c r="L130" s="88"/>
      <c r="M130" s="88"/>
      <c r="N130" s="88"/>
      <c r="O130" s="88"/>
      <c r="P130" s="88"/>
      <c r="Q130" s="88"/>
      <c r="R130" s="88"/>
      <c r="S130" s="88"/>
      <c r="T130" s="88"/>
    </row>
    <row r="131" spans="6:20" ht="12.75">
      <c r="F131" s="88"/>
      <c r="I131" s="88"/>
      <c r="J131" s="88"/>
      <c r="K131" s="88"/>
      <c r="L131" s="88"/>
      <c r="M131" s="88"/>
      <c r="N131" s="88"/>
      <c r="O131" s="88"/>
      <c r="P131" s="88"/>
      <c r="Q131" s="88"/>
      <c r="R131" s="88"/>
      <c r="S131" s="88"/>
      <c r="T131" s="88"/>
    </row>
    <row r="132" spans="6:20" ht="12.75">
      <c r="F132" s="88"/>
      <c r="I132" s="88"/>
      <c r="J132" s="88"/>
      <c r="K132" s="88"/>
      <c r="L132" s="88"/>
      <c r="M132" s="88"/>
      <c r="N132" s="88"/>
      <c r="O132" s="88"/>
      <c r="P132" s="88"/>
      <c r="Q132" s="88"/>
      <c r="R132" s="88"/>
      <c r="S132" s="88"/>
      <c r="T132" s="88"/>
    </row>
    <row r="133" spans="6:20" ht="12.75">
      <c r="F133" s="88"/>
      <c r="I133" s="88"/>
      <c r="J133" s="88"/>
      <c r="K133" s="88"/>
      <c r="L133" s="88"/>
      <c r="M133" s="88"/>
      <c r="N133" s="88"/>
      <c r="O133" s="88"/>
      <c r="P133" s="88"/>
      <c r="Q133" s="88"/>
      <c r="R133" s="88"/>
      <c r="S133" s="88"/>
      <c r="T133" s="88"/>
    </row>
    <row r="134" spans="6:20" ht="12.75">
      <c r="F134" s="88"/>
      <c r="I134" s="88"/>
      <c r="J134" s="88"/>
      <c r="K134" s="88"/>
      <c r="L134" s="88"/>
      <c r="M134" s="88"/>
      <c r="N134" s="88"/>
      <c r="O134" s="88"/>
      <c r="P134" s="88"/>
      <c r="Q134" s="88"/>
      <c r="R134" s="88"/>
      <c r="S134" s="88"/>
      <c r="T134" s="88"/>
    </row>
  </sheetData>
  <sheetProtection algorithmName="SHA-512" hashValue="WBHWXs8OQvBF8fl5FX67v9EpziVx1omTrP+W/NSm1i33V9FdDm+ygWDtoXVWfwLNqF9lqN+HzvI3BRrGnpJXqQ==" saltValue="82Lzt5NpKGvbsfsaaGHpUw==" spinCount="100000" sheet="1" objects="1" scenarios="1"/>
  <hyperlinks>
    <hyperlink ref="V39" r:id="rId1"/>
  </hyperlinks>
  <pageMargins left="0.7" right="0.7" top="0.75" bottom="0.75" header="0.3" footer="0.3"/>
  <pageSetup paperSize="9" scale="37" orientation="landscape" verticalDpi="0"/>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dimension ref="A1:P157"/>
  <sheetViews>
    <sheetView tabSelected="1" workbookViewId="0">
      <selection activeCell="I28" sqref="I28:J28"/>
    </sheetView>
  </sheetViews>
  <sheetFormatPr defaultColWidth="8.85546875" defaultRowHeight="15"/>
  <cols>
    <col min="2" max="2" width="31.28515625" customWidth="1"/>
    <col min="3" max="3" width="2" hidden="1" customWidth="1"/>
    <col min="4" max="4" width="9.42578125" customWidth="1"/>
    <col min="7" max="7" width="18.85546875" customWidth="1"/>
    <col min="8" max="8" width="19" customWidth="1"/>
    <col min="10" max="10" width="16.28515625" customWidth="1"/>
    <col min="11" max="11" width="5.85546875" customWidth="1"/>
    <col min="12" max="12" width="4.42578125" customWidth="1"/>
    <col min="13" max="13" width="9.85546875" hidden="1" customWidth="1"/>
    <col min="14" max="16" width="9" hidden="1" customWidth="1"/>
    <col min="19" max="22" width="9" customWidth="1"/>
  </cols>
  <sheetData>
    <row r="1" spans="1:16">
      <c r="A1" s="269"/>
      <c r="B1" s="269"/>
      <c r="C1" s="269"/>
      <c r="D1" s="269"/>
      <c r="E1" s="269"/>
      <c r="F1" s="269"/>
      <c r="G1" s="269"/>
      <c r="H1" s="269"/>
      <c r="I1" s="269"/>
      <c r="J1" s="269"/>
      <c r="K1" s="269"/>
      <c r="L1" s="264"/>
    </row>
    <row r="2" spans="1:16" ht="22.5" customHeight="1">
      <c r="A2" s="269"/>
      <c r="B2" s="550" t="s">
        <v>988</v>
      </c>
      <c r="C2" s="269"/>
      <c r="D2" s="269"/>
      <c r="E2" s="599" t="s">
        <v>1164</v>
      </c>
      <c r="F2" s="269"/>
      <c r="H2" s="602">
        <v>42998</v>
      </c>
      <c r="I2" s="269"/>
      <c r="J2" s="269"/>
      <c r="K2" s="269"/>
      <c r="L2" s="264"/>
      <c r="M2" s="5" t="s">
        <v>17</v>
      </c>
      <c r="N2" s="1"/>
      <c r="O2" s="24"/>
      <c r="P2" s="7"/>
    </row>
    <row r="3" spans="1:16" ht="15.75" thickBot="1">
      <c r="A3" s="269"/>
      <c r="B3" s="269"/>
      <c r="C3" s="269"/>
      <c r="E3" s="269"/>
      <c r="F3" s="269"/>
      <c r="G3" s="269"/>
      <c r="H3" s="269"/>
      <c r="I3" s="269"/>
      <c r="J3" s="269"/>
      <c r="K3" s="269"/>
      <c r="L3" s="264"/>
      <c r="M3" s="2" t="s">
        <v>0</v>
      </c>
      <c r="N3" s="2"/>
      <c r="O3" s="1"/>
      <c r="P3" s="7"/>
    </row>
    <row r="4" spans="1:16">
      <c r="A4" s="269"/>
      <c r="B4" s="227" t="s">
        <v>998</v>
      </c>
      <c r="C4" s="228"/>
      <c r="D4" s="709"/>
      <c r="E4" s="710"/>
      <c r="F4" s="710"/>
      <c r="G4" s="710"/>
      <c r="H4" s="710"/>
      <c r="I4" s="710"/>
      <c r="J4" s="711"/>
      <c r="K4" s="269"/>
      <c r="L4" s="264"/>
      <c r="M4" s="3" t="s">
        <v>1064</v>
      </c>
      <c r="N4" s="4">
        <f>G49</f>
        <v>2.8</v>
      </c>
      <c r="O4" s="24"/>
      <c r="P4" s="7"/>
    </row>
    <row r="5" spans="1:16">
      <c r="A5" s="269"/>
      <c r="B5" s="595" t="s">
        <v>12</v>
      </c>
      <c r="D5" s="712" t="s">
        <v>1171</v>
      </c>
      <c r="E5" s="713"/>
      <c r="F5" s="713"/>
      <c r="G5" s="713"/>
      <c r="H5" s="713"/>
      <c r="I5" s="713"/>
      <c r="J5" s="714"/>
      <c r="K5" s="269"/>
      <c r="L5" s="264"/>
      <c r="M5" s="3" t="s">
        <v>5</v>
      </c>
      <c r="N5" s="4">
        <v>5.8</v>
      </c>
      <c r="O5" s="24"/>
      <c r="P5" s="7"/>
    </row>
    <row r="6" spans="1:16">
      <c r="A6" s="269"/>
      <c r="B6" s="595" t="s">
        <v>236</v>
      </c>
      <c r="D6" s="712" t="s">
        <v>1168</v>
      </c>
      <c r="E6" s="713"/>
      <c r="F6" s="713"/>
      <c r="G6" s="713"/>
      <c r="H6" s="713"/>
      <c r="I6" s="713"/>
      <c r="J6" s="714"/>
      <c r="K6" s="269"/>
      <c r="L6" s="264"/>
      <c r="M6" s="3" t="s">
        <v>3</v>
      </c>
      <c r="N6" s="4">
        <v>4.8</v>
      </c>
      <c r="O6" s="24"/>
      <c r="P6" s="7"/>
    </row>
    <row r="7" spans="1:16">
      <c r="A7" s="269"/>
      <c r="B7" s="595" t="s">
        <v>13</v>
      </c>
      <c r="D7" s="712" t="s">
        <v>1172</v>
      </c>
      <c r="E7" s="713"/>
      <c r="F7" s="713"/>
      <c r="G7" s="713"/>
      <c r="H7" s="713"/>
      <c r="I7" s="713"/>
      <c r="J7" s="714"/>
      <c r="K7" s="269"/>
      <c r="L7" s="264"/>
      <c r="M7" s="3" t="s">
        <v>2</v>
      </c>
      <c r="N7" s="4">
        <v>4.2</v>
      </c>
      <c r="O7" s="24"/>
      <c r="P7" s="7"/>
    </row>
    <row r="8" spans="1:16" ht="15.75" thickBot="1">
      <c r="A8" s="269"/>
      <c r="B8" s="269"/>
      <c r="C8" s="269"/>
      <c r="D8" s="269"/>
      <c r="E8" s="269"/>
      <c r="F8" s="269"/>
      <c r="G8" s="269"/>
      <c r="H8" s="269"/>
      <c r="I8" s="269"/>
      <c r="J8" s="269"/>
      <c r="K8" s="269"/>
      <c r="L8" s="264"/>
      <c r="M8" s="3" t="s">
        <v>92</v>
      </c>
      <c r="N8" s="4">
        <v>3</v>
      </c>
      <c r="O8" s="24"/>
      <c r="P8" s="7"/>
    </row>
    <row r="9" spans="1:16">
      <c r="A9" s="269"/>
      <c r="B9" s="596" t="s">
        <v>999</v>
      </c>
      <c r="C9" s="269"/>
      <c r="D9" s="709"/>
      <c r="E9" s="710"/>
      <c r="F9" s="710"/>
      <c r="G9" s="710"/>
      <c r="H9" s="710"/>
      <c r="I9" s="710"/>
      <c r="J9" s="711"/>
      <c r="K9" s="269"/>
      <c r="L9" s="264"/>
      <c r="M9" s="3" t="s">
        <v>581</v>
      </c>
      <c r="N9" s="4">
        <v>3</v>
      </c>
      <c r="O9" s="24"/>
      <c r="P9" s="7"/>
    </row>
    <row r="10" spans="1:16">
      <c r="A10" s="269"/>
      <c r="B10" s="597" t="s">
        <v>281</v>
      </c>
      <c r="D10" s="712"/>
      <c r="E10" s="713"/>
      <c r="F10" s="713"/>
      <c r="G10" s="713"/>
      <c r="H10" s="713"/>
      <c r="I10" s="713"/>
      <c r="J10" s="714"/>
      <c r="K10" s="269"/>
      <c r="L10" s="264"/>
      <c r="M10" s="3" t="s">
        <v>1</v>
      </c>
      <c r="N10" s="4">
        <v>2.8</v>
      </c>
      <c r="O10" s="24"/>
      <c r="P10" s="7"/>
    </row>
    <row r="11" spans="1:16" ht="36" customHeight="1">
      <c r="A11" s="269"/>
      <c r="B11" s="595" t="s">
        <v>282</v>
      </c>
      <c r="D11" s="712"/>
      <c r="E11" s="713"/>
      <c r="F11" s="713"/>
      <c r="G11" s="713"/>
      <c r="H11" s="713"/>
      <c r="I11" s="713"/>
      <c r="J11" s="714"/>
      <c r="K11" s="269"/>
      <c r="L11" s="264"/>
      <c r="M11" s="3" t="s">
        <v>33</v>
      </c>
      <c r="N11" s="4">
        <v>2.2000000000000002</v>
      </c>
      <c r="O11" s="24"/>
      <c r="P11" s="7"/>
    </row>
    <row r="12" spans="1:16" ht="30" customHeight="1">
      <c r="A12" s="269"/>
      <c r="B12" s="595" t="s">
        <v>283</v>
      </c>
      <c r="D12" s="712"/>
      <c r="E12" s="713"/>
      <c r="F12" s="713"/>
      <c r="G12" s="713"/>
      <c r="H12" s="713"/>
      <c r="I12" s="713"/>
      <c r="J12" s="714"/>
      <c r="K12" s="269"/>
      <c r="L12" s="264"/>
      <c r="M12" s="3" t="s">
        <v>74</v>
      </c>
      <c r="N12" s="4">
        <v>2</v>
      </c>
      <c r="O12" s="24"/>
    </row>
    <row r="13" spans="1:16" ht="30" customHeight="1">
      <c r="A13" s="269"/>
      <c r="B13" s="595" t="s">
        <v>284</v>
      </c>
      <c r="D13" s="712" t="s">
        <v>1169</v>
      </c>
      <c r="E13" s="713"/>
      <c r="F13" s="713"/>
      <c r="G13" s="713"/>
      <c r="H13" s="713"/>
      <c r="I13" s="713"/>
      <c r="J13" s="714"/>
      <c r="K13" s="269"/>
      <c r="L13" s="264"/>
      <c r="M13" s="3" t="s">
        <v>34</v>
      </c>
      <c r="N13" s="4">
        <v>2</v>
      </c>
      <c r="O13" s="24"/>
      <c r="P13" s="7"/>
    </row>
    <row r="14" spans="1:16" ht="15" customHeight="1">
      <c r="A14" s="269"/>
      <c r="B14" s="595" t="s">
        <v>285</v>
      </c>
      <c r="D14" s="712" t="s">
        <v>1168</v>
      </c>
      <c r="E14" s="713"/>
      <c r="F14" s="713"/>
      <c r="G14" s="713"/>
      <c r="H14" s="713"/>
      <c r="I14" s="713"/>
      <c r="J14" s="714"/>
      <c r="K14" s="269"/>
      <c r="L14" s="264"/>
      <c r="M14" s="3" t="s">
        <v>128</v>
      </c>
      <c r="N14" s="4">
        <v>1.2</v>
      </c>
      <c r="O14" s="24"/>
      <c r="P14" s="7"/>
    </row>
    <row r="15" spans="1:16" ht="20.25" customHeight="1">
      <c r="A15" s="269"/>
      <c r="B15" s="595" t="s">
        <v>286</v>
      </c>
      <c r="D15" s="712" t="s">
        <v>1170</v>
      </c>
      <c r="E15" s="713"/>
      <c r="F15" s="713"/>
      <c r="G15" s="713"/>
      <c r="H15" s="713"/>
      <c r="I15" s="713"/>
      <c r="J15" s="714"/>
      <c r="K15" s="269"/>
      <c r="L15" s="264"/>
      <c r="M15" s="3" t="s">
        <v>31</v>
      </c>
      <c r="N15" s="4">
        <v>0.7</v>
      </c>
      <c r="O15" s="24"/>
      <c r="P15" s="7"/>
    </row>
    <row r="16" spans="1:16" ht="25.5">
      <c r="A16" s="269"/>
      <c r="B16" s="595" t="s">
        <v>287</v>
      </c>
      <c r="D16" s="712"/>
      <c r="E16" s="713"/>
      <c r="F16" s="713"/>
      <c r="G16" s="713"/>
      <c r="H16" s="713"/>
      <c r="I16" s="713"/>
      <c r="J16" s="714"/>
      <c r="K16" s="269"/>
      <c r="L16" s="264"/>
      <c r="M16" s="3" t="s">
        <v>20</v>
      </c>
      <c r="N16" s="4"/>
      <c r="O16" s="24"/>
      <c r="P16" s="7"/>
    </row>
    <row r="17" spans="1:16" ht="15.75" thickBot="1">
      <c r="A17" s="269"/>
      <c r="B17" s="269"/>
      <c r="C17" s="269"/>
      <c r="D17" s="269"/>
      <c r="E17" s="269"/>
      <c r="F17" s="269"/>
      <c r="G17" s="269"/>
      <c r="H17" s="269"/>
      <c r="I17" s="269"/>
      <c r="J17" s="269"/>
      <c r="K17" s="269"/>
      <c r="L17" s="264"/>
      <c r="O17" s="24"/>
      <c r="P17" s="7"/>
    </row>
    <row r="18" spans="1:16">
      <c r="A18" s="269"/>
      <c r="B18" s="596" t="s">
        <v>989</v>
      </c>
      <c r="C18" s="228"/>
      <c r="D18" s="709"/>
      <c r="E18" s="710"/>
      <c r="F18" s="710"/>
      <c r="G18" s="710"/>
      <c r="H18" s="710"/>
      <c r="I18" s="710"/>
      <c r="J18" s="711"/>
      <c r="K18" s="269"/>
      <c r="L18" s="264"/>
      <c r="O18" s="24"/>
      <c r="P18" s="7"/>
    </row>
    <row r="19" spans="1:16">
      <c r="A19" s="269"/>
      <c r="B19" s="597" t="s">
        <v>990</v>
      </c>
      <c r="D19" s="712"/>
      <c r="E19" s="713"/>
      <c r="F19" s="713"/>
      <c r="G19" s="713"/>
      <c r="H19" s="713"/>
      <c r="I19" s="713"/>
      <c r="J19" s="714"/>
      <c r="K19" s="269"/>
      <c r="L19" s="264"/>
      <c r="O19" s="24"/>
      <c r="P19" s="8"/>
    </row>
    <row r="20" spans="1:16">
      <c r="A20" s="269"/>
      <c r="B20" s="595" t="s">
        <v>991</v>
      </c>
      <c r="D20" s="712"/>
      <c r="E20" s="713"/>
      <c r="F20" s="713"/>
      <c r="G20" s="713"/>
      <c r="H20" s="713"/>
      <c r="I20" s="713"/>
      <c r="J20" s="714"/>
      <c r="K20" s="269"/>
      <c r="L20" s="264"/>
      <c r="O20" s="1"/>
      <c r="P20" s="8"/>
    </row>
    <row r="21" spans="1:16">
      <c r="A21" s="269"/>
      <c r="B21" s="595" t="s">
        <v>992</v>
      </c>
      <c r="D21" s="712"/>
      <c r="E21" s="713"/>
      <c r="F21" s="713"/>
      <c r="G21" s="713"/>
      <c r="H21" s="713"/>
      <c r="I21" s="713"/>
      <c r="J21" s="714"/>
      <c r="K21" s="269"/>
      <c r="L21" s="264"/>
      <c r="M21" s="1"/>
      <c r="N21" s="1"/>
      <c r="O21" s="1"/>
      <c r="P21" s="8"/>
    </row>
    <row r="22" spans="1:16">
      <c r="A22" s="269"/>
      <c r="B22" s="595" t="s">
        <v>996</v>
      </c>
      <c r="D22" s="712"/>
      <c r="E22" s="713"/>
      <c r="F22" s="713"/>
      <c r="G22" s="713"/>
      <c r="H22" s="713"/>
      <c r="I22" s="713"/>
      <c r="J22" s="714"/>
      <c r="K22" s="269"/>
      <c r="L22" s="264"/>
      <c r="M22" s="2" t="s">
        <v>6</v>
      </c>
      <c r="N22" s="2"/>
      <c r="O22" s="1"/>
      <c r="P22" s="8"/>
    </row>
    <row r="23" spans="1:16">
      <c r="A23" s="269"/>
      <c r="B23" s="269"/>
      <c r="C23" s="269"/>
      <c r="D23" s="269"/>
      <c r="E23" s="269"/>
      <c r="F23" s="269"/>
      <c r="G23" s="269"/>
      <c r="H23" s="269"/>
      <c r="I23" s="269"/>
      <c r="J23" s="269"/>
      <c r="K23" s="269"/>
      <c r="L23" s="264"/>
      <c r="M23" s="3" t="s">
        <v>1064</v>
      </c>
      <c r="N23" s="4">
        <f>G48</f>
        <v>2.11</v>
      </c>
      <c r="O23" s="1"/>
      <c r="P23" s="8"/>
    </row>
    <row r="24" spans="1:16">
      <c r="A24" s="269"/>
      <c r="B24" s="269"/>
      <c r="C24" s="269"/>
      <c r="D24" s="269"/>
      <c r="E24" s="269"/>
      <c r="F24" s="269"/>
      <c r="G24" s="269"/>
      <c r="H24" s="269"/>
      <c r="I24" s="269"/>
      <c r="J24" s="269"/>
      <c r="K24" s="269"/>
      <c r="L24" s="264"/>
      <c r="M24" s="3" t="s">
        <v>93</v>
      </c>
      <c r="N24" s="4">
        <v>-0.15</v>
      </c>
      <c r="O24" s="1"/>
      <c r="P24" s="8"/>
    </row>
    <row r="25" spans="1:16" ht="15" customHeight="1">
      <c r="A25" s="269"/>
      <c r="B25" s="269"/>
      <c r="C25" s="269"/>
      <c r="D25" s="269"/>
      <c r="E25" s="269"/>
      <c r="F25" s="269"/>
      <c r="G25" s="269"/>
      <c r="H25" s="269"/>
      <c r="I25" s="269"/>
      <c r="J25" s="269"/>
      <c r="K25" s="269"/>
      <c r="L25" s="264"/>
      <c r="M25" s="3" t="s">
        <v>107</v>
      </c>
      <c r="N25" s="4">
        <v>3.12</v>
      </c>
      <c r="O25" s="1"/>
      <c r="P25" s="8"/>
    </row>
    <row r="26" spans="1:16" ht="15.75" customHeight="1" thickBot="1">
      <c r="A26" s="269"/>
      <c r="B26" s="269"/>
      <c r="C26" s="269"/>
      <c r="D26" s="269"/>
      <c r="E26" s="269"/>
      <c r="F26" s="269"/>
      <c r="G26" s="269"/>
      <c r="H26" s="269"/>
      <c r="I26" s="269"/>
      <c r="K26" s="269"/>
      <c r="L26" s="264"/>
      <c r="M26" s="3" t="s">
        <v>95</v>
      </c>
      <c r="N26" s="4">
        <v>2.97</v>
      </c>
      <c r="O26" s="1"/>
      <c r="P26" s="8"/>
    </row>
    <row r="27" spans="1:16" ht="15" customHeight="1">
      <c r="A27" s="269"/>
      <c r="B27" s="596" t="s">
        <v>997</v>
      </c>
      <c r="C27" s="269"/>
      <c r="D27" s="696"/>
      <c r="E27" s="708"/>
      <c r="F27" s="269"/>
      <c r="G27" s="673" t="s">
        <v>1002</v>
      </c>
      <c r="H27" s="673"/>
      <c r="I27" s="696"/>
      <c r="J27" s="705"/>
      <c r="K27" s="269"/>
      <c r="L27" s="264"/>
      <c r="M27" s="3" t="s">
        <v>98</v>
      </c>
      <c r="N27" s="4">
        <v>2.78</v>
      </c>
      <c r="O27" s="1"/>
      <c r="P27" s="8"/>
    </row>
    <row r="28" spans="1:16" ht="15" customHeight="1">
      <c r="A28" s="269"/>
      <c r="B28" s="595" t="s">
        <v>44</v>
      </c>
      <c r="C28" s="269"/>
      <c r="D28" s="667" t="s">
        <v>46</v>
      </c>
      <c r="E28" s="668"/>
      <c r="F28" s="269"/>
      <c r="G28" s="674" t="s">
        <v>582</v>
      </c>
      <c r="H28" s="675"/>
      <c r="I28" s="715">
        <v>50</v>
      </c>
      <c r="J28" s="716"/>
      <c r="K28" s="274" t="s">
        <v>1004</v>
      </c>
      <c r="L28" s="264"/>
      <c r="M28" s="3" t="s">
        <v>100</v>
      </c>
      <c r="N28" s="4">
        <v>2.23</v>
      </c>
      <c r="O28" s="7"/>
      <c r="P28" s="8"/>
    </row>
    <row r="29" spans="1:16" ht="17.25" customHeight="1">
      <c r="A29" s="269"/>
      <c r="B29" s="595" t="s">
        <v>579</v>
      </c>
      <c r="C29" s="269"/>
      <c r="D29" s="671">
        <f>VLOOKUP(D28,M103:P111,2,FALSE)</f>
        <v>-3.4</v>
      </c>
      <c r="E29" s="672"/>
      <c r="F29" s="274" t="s">
        <v>1004</v>
      </c>
      <c r="G29" s="676" t="s">
        <v>580</v>
      </c>
      <c r="H29" s="677"/>
      <c r="I29" s="671">
        <f>VLOOKUP(I28,$M$130:$P$136,2,FALSE)</f>
        <v>2.4</v>
      </c>
      <c r="J29" s="672"/>
      <c r="K29" s="269"/>
      <c r="L29" s="264"/>
      <c r="M29" s="3" t="s">
        <v>97</v>
      </c>
      <c r="N29" s="4">
        <v>2.11</v>
      </c>
      <c r="O29" s="7"/>
      <c r="P29" s="9"/>
    </row>
    <row r="30" spans="1:16" ht="15" customHeight="1">
      <c r="A30" s="269"/>
      <c r="B30" s="595" t="s">
        <v>577</v>
      </c>
      <c r="C30" s="269"/>
      <c r="D30" s="671">
        <f>VLOOKUP(D28,M103:P111,3,FALSE)</f>
        <v>9.8000000000000007</v>
      </c>
      <c r="E30" s="672"/>
      <c r="F30" s="274" t="s">
        <v>1004</v>
      </c>
      <c r="G30" s="676" t="s">
        <v>578</v>
      </c>
      <c r="H30" s="677"/>
      <c r="I30" s="706" t="str">
        <f>VLOOKUP(I28,$M$130:$P$136,4,FALSE)</f>
        <v>***</v>
      </c>
      <c r="J30" s="707"/>
      <c r="K30" s="269"/>
      <c r="L30" s="264"/>
      <c r="M30" s="3" t="s">
        <v>104</v>
      </c>
      <c r="N30" s="4">
        <v>1.72</v>
      </c>
      <c r="O30" s="7"/>
      <c r="P30" s="7"/>
    </row>
    <row r="31" spans="1:16">
      <c r="A31" s="269"/>
      <c r="B31" s="595" t="s">
        <v>232</v>
      </c>
      <c r="C31" s="269"/>
      <c r="D31" s="667">
        <v>100</v>
      </c>
      <c r="E31" s="668"/>
      <c r="F31" s="269"/>
      <c r="G31" s="674" t="s">
        <v>922</v>
      </c>
      <c r="H31" s="675"/>
      <c r="I31" s="717" t="s">
        <v>1161</v>
      </c>
      <c r="J31" s="717"/>
      <c r="K31" s="269"/>
      <c r="L31" s="264"/>
      <c r="M31" s="3" t="s">
        <v>99</v>
      </c>
      <c r="N31" s="4">
        <v>1.68</v>
      </c>
      <c r="O31" s="7"/>
      <c r="P31" s="7"/>
    </row>
    <row r="32" spans="1:16">
      <c r="A32" s="269"/>
      <c r="B32" s="595" t="s">
        <v>526</v>
      </c>
      <c r="C32" s="269"/>
      <c r="D32" s="671">
        <f>D29-(0.006*(D31))</f>
        <v>-4</v>
      </c>
      <c r="E32" s="672"/>
      <c r="F32" s="274" t="s">
        <v>1004</v>
      </c>
      <c r="G32" s="700" t="s">
        <v>1003</v>
      </c>
      <c r="H32" s="701"/>
      <c r="I32" s="699" t="s">
        <v>1151</v>
      </c>
      <c r="J32" s="699"/>
      <c r="K32" s="269"/>
      <c r="L32" s="264"/>
      <c r="M32" s="3" t="s">
        <v>96</v>
      </c>
      <c r="N32" s="4">
        <v>1.64</v>
      </c>
      <c r="O32" s="1"/>
      <c r="P32" s="8"/>
    </row>
    <row r="33" spans="1:16" ht="15" customHeight="1">
      <c r="A33" s="269"/>
      <c r="B33" s="595" t="s">
        <v>522</v>
      </c>
      <c r="C33" s="269"/>
      <c r="D33" s="687">
        <f>D30-(0.006*(D31))</f>
        <v>9.2000000000000011</v>
      </c>
      <c r="E33" s="688"/>
      <c r="F33" s="274" t="s">
        <v>1004</v>
      </c>
      <c r="G33" s="654" t="s">
        <v>1023</v>
      </c>
      <c r="H33" s="655"/>
      <c r="I33" s="648" t="s">
        <v>1024</v>
      </c>
      <c r="J33" s="649"/>
      <c r="K33" s="269"/>
      <c r="L33" s="264"/>
      <c r="M33" s="3" t="s">
        <v>105</v>
      </c>
      <c r="N33" s="4">
        <v>1.58</v>
      </c>
      <c r="O33" s="1"/>
      <c r="P33" s="7"/>
    </row>
    <row r="34" spans="1:16">
      <c r="A34" s="269"/>
      <c r="B34" s="269"/>
      <c r="C34" s="269"/>
      <c r="D34" s="598"/>
      <c r="E34" s="269"/>
      <c r="F34" s="269"/>
      <c r="G34" s="656"/>
      <c r="H34" s="657"/>
      <c r="I34" s="650"/>
      <c r="J34" s="651"/>
      <c r="K34" s="269"/>
      <c r="L34" s="264"/>
      <c r="M34" s="3" t="s">
        <v>106</v>
      </c>
      <c r="N34" s="4">
        <v>1.02</v>
      </c>
      <c r="O34" s="1"/>
      <c r="P34" s="7"/>
    </row>
    <row r="35" spans="1:16" ht="15" customHeight="1">
      <c r="A35" s="269"/>
      <c r="B35" s="269"/>
      <c r="C35" s="269"/>
      <c r="D35" s="269"/>
      <c r="E35" s="269"/>
      <c r="F35" s="269"/>
      <c r="G35" s="658"/>
      <c r="H35" s="659"/>
      <c r="I35" s="652"/>
      <c r="J35" s="653"/>
      <c r="K35" s="269"/>
      <c r="L35" s="264"/>
      <c r="M35" s="3" t="s">
        <v>102</v>
      </c>
      <c r="N35" s="4">
        <v>0.77</v>
      </c>
      <c r="O35" s="1"/>
      <c r="P35" s="7"/>
    </row>
    <row r="36" spans="1:16" ht="15" customHeight="1" thickBot="1">
      <c r="A36" s="269"/>
      <c r="B36" s="269"/>
      <c r="C36" s="269"/>
      <c r="D36" s="269"/>
      <c r="E36" s="269"/>
      <c r="F36" s="269"/>
      <c r="G36" s="269"/>
      <c r="H36" s="557"/>
      <c r="I36" s="269"/>
      <c r="J36" s="269"/>
      <c r="K36" s="269"/>
      <c r="L36" s="264"/>
      <c r="M36" s="3" t="s">
        <v>103</v>
      </c>
      <c r="N36" s="4">
        <v>0.59</v>
      </c>
      <c r="O36" s="1"/>
      <c r="P36" s="7"/>
    </row>
    <row r="37" spans="1:16">
      <c r="A37" s="269"/>
      <c r="B37" s="673" t="s">
        <v>525</v>
      </c>
      <c r="C37" s="673"/>
      <c r="D37" s="663"/>
      <c r="E37" s="664"/>
      <c r="F37" s="269"/>
      <c r="G37" s="269"/>
      <c r="H37" s="269"/>
      <c r="I37" s="269"/>
      <c r="J37" s="269"/>
      <c r="K37" s="269"/>
      <c r="L37" s="264"/>
      <c r="M37" s="3" t="s">
        <v>101</v>
      </c>
      <c r="N37" s="4">
        <v>0.56000000000000005</v>
      </c>
      <c r="O37" s="1"/>
      <c r="P37" s="7"/>
    </row>
    <row r="38" spans="1:16" ht="15" customHeight="1">
      <c r="A38" s="269"/>
      <c r="B38" s="674" t="s">
        <v>123</v>
      </c>
      <c r="C38" s="675"/>
      <c r="D38" s="665" t="s">
        <v>125</v>
      </c>
      <c r="E38" s="666"/>
      <c r="F38" s="269"/>
      <c r="G38" s="269"/>
      <c r="H38" s="269"/>
      <c r="I38" s="269"/>
      <c r="J38" s="269"/>
      <c r="K38" s="269"/>
      <c r="L38" s="264"/>
      <c r="M38" s="3" t="s">
        <v>274</v>
      </c>
      <c r="N38" s="4">
        <v>0.44</v>
      </c>
      <c r="O38" s="8"/>
      <c r="P38" s="8"/>
    </row>
    <row r="39" spans="1:16">
      <c r="A39" s="269"/>
      <c r="B39" s="676" t="s">
        <v>198</v>
      </c>
      <c r="C39" s="677"/>
      <c r="D39" s="667">
        <v>3</v>
      </c>
      <c r="E39" s="668"/>
      <c r="F39" s="269"/>
      <c r="G39" s="269"/>
      <c r="H39" s="269"/>
      <c r="I39" s="269"/>
      <c r="J39" s="269"/>
      <c r="K39" s="269"/>
      <c r="L39" s="264"/>
      <c r="M39" s="3" t="s">
        <v>241</v>
      </c>
      <c r="N39" s="4">
        <v>0.42</v>
      </c>
      <c r="O39" s="8"/>
      <c r="P39" s="8"/>
    </row>
    <row r="40" spans="1:16" ht="15" customHeight="1">
      <c r="A40" s="269"/>
      <c r="B40" s="676" t="s">
        <v>41</v>
      </c>
      <c r="C40" s="677"/>
      <c r="D40" s="669">
        <f>D39+1</f>
        <v>4</v>
      </c>
      <c r="E40" s="670"/>
      <c r="F40" s="269"/>
      <c r="G40" s="269"/>
      <c r="H40" s="269"/>
      <c r="I40" s="269"/>
      <c r="J40" s="269"/>
      <c r="K40" s="269"/>
      <c r="L40" s="264"/>
      <c r="M40" s="3" t="s">
        <v>242</v>
      </c>
      <c r="N40" s="4">
        <v>0.36</v>
      </c>
      <c r="O40" s="8"/>
      <c r="P40" s="8"/>
    </row>
    <row r="41" spans="1:16" ht="15" customHeight="1">
      <c r="A41" s="269"/>
      <c r="B41" s="674" t="s">
        <v>91</v>
      </c>
      <c r="C41" s="675"/>
      <c r="D41" s="671">
        <f>D40*55</f>
        <v>220</v>
      </c>
      <c r="E41" s="672"/>
      <c r="F41" s="274" t="s">
        <v>42</v>
      </c>
      <c r="G41" s="269"/>
      <c r="H41" s="269"/>
      <c r="I41" s="269"/>
      <c r="J41" s="269"/>
      <c r="K41" s="269"/>
      <c r="L41" s="264"/>
      <c r="M41" s="3" t="s">
        <v>39</v>
      </c>
      <c r="N41" s="4">
        <v>0.35</v>
      </c>
      <c r="O41" s="8"/>
      <c r="P41" s="8"/>
    </row>
    <row r="42" spans="1:16">
      <c r="A42" s="269"/>
      <c r="B42" s="700" t="s">
        <v>43</v>
      </c>
      <c r="C42" s="701"/>
      <c r="D42" s="667" t="s">
        <v>1074</v>
      </c>
      <c r="E42" s="668"/>
      <c r="F42" s="274" t="s">
        <v>42</v>
      </c>
      <c r="G42" s="269"/>
      <c r="H42" s="269"/>
      <c r="I42" s="269"/>
      <c r="J42" s="269"/>
      <c r="K42" s="269"/>
      <c r="L42" s="264"/>
      <c r="M42" s="3" t="s">
        <v>94</v>
      </c>
      <c r="N42" s="4">
        <v>0.35</v>
      </c>
      <c r="O42" s="1"/>
      <c r="P42" s="7"/>
    </row>
    <row r="43" spans="1:16" ht="15" customHeight="1">
      <c r="A43" s="269"/>
      <c r="B43" s="676" t="s">
        <v>238</v>
      </c>
      <c r="C43" s="677"/>
      <c r="D43" s="667">
        <v>50</v>
      </c>
      <c r="E43" s="668"/>
      <c r="F43" s="274" t="s">
        <v>1004</v>
      </c>
      <c r="G43" s="274" t="s">
        <v>1127</v>
      </c>
      <c r="H43" s="269"/>
      <c r="I43" s="269"/>
      <c r="J43" s="269"/>
      <c r="K43" s="269"/>
      <c r="L43" s="264"/>
      <c r="M43" s="3" t="s">
        <v>74</v>
      </c>
      <c r="N43" s="4">
        <v>0.25</v>
      </c>
      <c r="O43" s="1"/>
      <c r="P43" s="7"/>
    </row>
    <row r="44" spans="1:16" ht="15" customHeight="1">
      <c r="A44" s="269"/>
      <c r="B44" s="269"/>
      <c r="C44" s="269"/>
      <c r="D44" s="269"/>
      <c r="E44" s="269"/>
      <c r="F44" s="269"/>
      <c r="G44" s="269"/>
      <c r="H44" s="269"/>
      <c r="I44" s="269"/>
      <c r="J44" s="269"/>
      <c r="K44" s="269"/>
      <c r="L44" s="264"/>
      <c r="M44" s="3" t="s">
        <v>275</v>
      </c>
      <c r="N44" s="4">
        <v>0.22</v>
      </c>
      <c r="O44" s="1"/>
      <c r="P44" s="7"/>
    </row>
    <row r="45" spans="1:16">
      <c r="A45" s="269"/>
      <c r="B45" s="598"/>
      <c r="C45" s="598"/>
      <c r="D45" s="269"/>
      <c r="E45" s="269"/>
      <c r="F45" s="269"/>
      <c r="G45" s="269"/>
      <c r="H45" s="269"/>
      <c r="I45" s="269"/>
      <c r="J45" s="269"/>
      <c r="K45" s="269"/>
      <c r="L45" s="264"/>
      <c r="M45" s="3" t="s">
        <v>32</v>
      </c>
      <c r="N45" s="4">
        <v>0.2</v>
      </c>
      <c r="O45" s="1"/>
      <c r="P45" s="7"/>
    </row>
    <row r="46" spans="1:16" ht="15" customHeight="1" thickBot="1">
      <c r="A46" s="269"/>
      <c r="B46" s="269"/>
      <c r="C46" s="269"/>
      <c r="D46" s="269"/>
      <c r="E46" s="269"/>
      <c r="F46" s="269"/>
      <c r="G46" s="269"/>
      <c r="H46" s="269"/>
      <c r="I46" s="269"/>
      <c r="J46" s="269"/>
      <c r="K46" s="269"/>
      <c r="L46" s="264"/>
      <c r="M46" s="3" t="s">
        <v>31</v>
      </c>
      <c r="N46" s="4">
        <v>0.15</v>
      </c>
      <c r="O46" s="1"/>
      <c r="P46" s="7"/>
    </row>
    <row r="47" spans="1:16">
      <c r="A47" s="269"/>
      <c r="B47" s="596" t="s">
        <v>45</v>
      </c>
      <c r="C47" s="269"/>
      <c r="D47" s="696" t="s">
        <v>994</v>
      </c>
      <c r="E47" s="697"/>
      <c r="F47" s="698"/>
      <c r="G47" s="694" t="s">
        <v>995</v>
      </c>
      <c r="H47" s="695"/>
      <c r="I47" s="269"/>
      <c r="J47" s="269"/>
      <c r="K47" s="269"/>
      <c r="L47" s="264"/>
      <c r="M47" s="3" t="s">
        <v>276</v>
      </c>
      <c r="N47" s="4">
        <v>0.11</v>
      </c>
      <c r="O47" s="1"/>
      <c r="P47" s="7"/>
    </row>
    <row r="48" spans="1:16">
      <c r="A48" s="269"/>
      <c r="B48" s="597" t="s">
        <v>55</v>
      </c>
      <c r="C48" s="269"/>
      <c r="D48" s="691" t="s">
        <v>97</v>
      </c>
      <c r="E48" s="692"/>
      <c r="F48" s="693"/>
      <c r="G48" s="689">
        <f>VLOOKUP(D48,M24:N49,2,FALSE)</f>
        <v>2.11</v>
      </c>
      <c r="H48" s="690"/>
      <c r="I48" s="269"/>
      <c r="J48" s="269"/>
      <c r="K48" s="269"/>
      <c r="L48" s="264"/>
      <c r="M48" s="3" t="s">
        <v>277</v>
      </c>
      <c r="N48" s="4">
        <v>7.2999999999999995E-2</v>
      </c>
      <c r="O48" s="1"/>
      <c r="P48" s="7"/>
    </row>
    <row r="49" spans="1:16">
      <c r="A49" s="269"/>
      <c r="B49" s="595" t="s">
        <v>4</v>
      </c>
      <c r="C49" s="269"/>
      <c r="D49" s="691" t="s">
        <v>1</v>
      </c>
      <c r="E49" s="692"/>
      <c r="F49" s="692"/>
      <c r="G49" s="689">
        <f>VLOOKUP(D49,M5:N16,2,FALSE)</f>
        <v>2.8</v>
      </c>
      <c r="H49" s="690"/>
      <c r="I49" s="269"/>
      <c r="J49" s="269"/>
      <c r="K49" s="269"/>
      <c r="L49" s="264"/>
      <c r="M49" s="3" t="s">
        <v>20</v>
      </c>
      <c r="N49" s="4"/>
      <c r="O49" s="1"/>
      <c r="P49" s="7"/>
    </row>
    <row r="50" spans="1:16">
      <c r="A50" s="269"/>
      <c r="B50" s="595" t="s">
        <v>59</v>
      </c>
      <c r="C50" s="269"/>
      <c r="D50" s="691" t="s">
        <v>117</v>
      </c>
      <c r="E50" s="692"/>
      <c r="F50" s="693"/>
      <c r="G50" s="689">
        <f>VLOOKUP(D50,M82:N100,2,FALSE)</f>
        <v>0.2</v>
      </c>
      <c r="H50" s="690"/>
      <c r="I50" s="269"/>
      <c r="J50" s="269"/>
      <c r="K50" s="269"/>
      <c r="L50" s="264"/>
      <c r="M50" s="3"/>
      <c r="N50" s="4"/>
      <c r="O50" s="1"/>
      <c r="P50" s="7"/>
    </row>
    <row r="51" spans="1:16" ht="15" customHeight="1">
      <c r="A51" s="269"/>
      <c r="B51" s="595" t="s">
        <v>58</v>
      </c>
      <c r="C51" s="269"/>
      <c r="D51" s="691" t="s">
        <v>108</v>
      </c>
      <c r="E51" s="692"/>
      <c r="F51" s="693"/>
      <c r="G51" s="689">
        <f>VLOOKUP(D51,M55:N75,2,FALSE)</f>
        <v>1</v>
      </c>
      <c r="H51" s="690"/>
      <c r="I51" s="269"/>
      <c r="J51" s="269"/>
      <c r="K51" s="269"/>
      <c r="L51" s="264"/>
      <c r="M51" s="3"/>
      <c r="N51" s="4"/>
      <c r="O51" s="1"/>
      <c r="P51" s="7"/>
    </row>
    <row r="52" spans="1:16">
      <c r="A52" s="269"/>
      <c r="B52" s="274" t="s">
        <v>1065</v>
      </c>
      <c r="C52" s="269"/>
      <c r="D52" s="269"/>
      <c r="E52" s="269"/>
      <c r="F52" s="269"/>
      <c r="G52" s="269"/>
      <c r="H52" s="269"/>
      <c r="I52" s="269"/>
      <c r="J52" s="269"/>
      <c r="K52" s="269"/>
      <c r="L52" s="264"/>
      <c r="M52" s="3"/>
      <c r="N52" s="4"/>
      <c r="O52" s="1"/>
      <c r="P52" s="7"/>
    </row>
    <row r="53" spans="1:16">
      <c r="A53" s="269"/>
      <c r="B53" s="269"/>
      <c r="C53" s="269"/>
      <c r="D53" s="269"/>
      <c r="E53" s="269"/>
      <c r="F53" s="269"/>
      <c r="G53" s="269"/>
      <c r="H53" s="269"/>
      <c r="I53" s="269"/>
      <c r="J53" s="269"/>
      <c r="K53" s="269"/>
      <c r="L53" s="264"/>
      <c r="M53" s="3" t="s">
        <v>16</v>
      </c>
      <c r="N53" s="4"/>
      <c r="O53" s="1"/>
      <c r="P53" s="7"/>
    </row>
    <row r="54" spans="1:16">
      <c r="A54" s="702" t="s">
        <v>575</v>
      </c>
      <c r="B54" s="703"/>
      <c r="C54" s="703"/>
      <c r="D54" s="703"/>
      <c r="E54" s="703"/>
      <c r="F54" s="703"/>
      <c r="G54" s="703"/>
      <c r="H54" s="703"/>
      <c r="I54" s="703"/>
      <c r="J54" s="703"/>
      <c r="K54" s="703"/>
      <c r="L54" s="704"/>
      <c r="M54" s="3" t="s">
        <v>1064</v>
      </c>
      <c r="N54" s="4">
        <f>G51</f>
        <v>1</v>
      </c>
      <c r="O54" s="1"/>
      <c r="P54" s="7"/>
    </row>
    <row r="55" spans="1:16">
      <c r="A55" s="660" t="s">
        <v>835</v>
      </c>
      <c r="B55" s="661"/>
      <c r="C55" s="661"/>
      <c r="D55" s="661"/>
      <c r="E55" s="661"/>
      <c r="F55" s="661"/>
      <c r="G55" s="661"/>
      <c r="H55" s="661"/>
      <c r="I55" s="661"/>
      <c r="J55" s="661"/>
      <c r="K55" s="661"/>
      <c r="L55" s="662"/>
      <c r="M55" s="3" t="s">
        <v>93</v>
      </c>
      <c r="N55" s="4">
        <v>-0.15</v>
      </c>
      <c r="O55" s="1"/>
      <c r="P55" s="7"/>
    </row>
    <row r="56" spans="1:16">
      <c r="A56" s="660" t="s">
        <v>831</v>
      </c>
      <c r="B56" s="661"/>
      <c r="C56" s="661"/>
      <c r="D56" s="661"/>
      <c r="E56" s="661"/>
      <c r="F56" s="661"/>
      <c r="G56" s="661"/>
      <c r="H56" s="661"/>
      <c r="I56" s="661"/>
      <c r="J56" s="661"/>
      <c r="K56" s="661"/>
      <c r="L56" s="662"/>
      <c r="M56" s="3" t="s">
        <v>115</v>
      </c>
      <c r="N56" s="4">
        <v>1.82</v>
      </c>
      <c r="O56" s="1"/>
      <c r="P56" s="7"/>
    </row>
    <row r="57" spans="1:16">
      <c r="A57" s="660" t="s">
        <v>574</v>
      </c>
      <c r="B57" s="661"/>
      <c r="C57" s="661"/>
      <c r="D57" s="661"/>
      <c r="E57" s="661"/>
      <c r="F57" s="661"/>
      <c r="G57" s="661"/>
      <c r="H57" s="661"/>
      <c r="I57" s="661"/>
      <c r="J57" s="661"/>
      <c r="K57" s="661"/>
      <c r="L57" s="662"/>
      <c r="M57" s="3" t="s">
        <v>114</v>
      </c>
      <c r="N57" s="4">
        <v>1.75</v>
      </c>
      <c r="O57" s="1"/>
      <c r="P57" s="7"/>
    </row>
    <row r="58" spans="1:16" ht="15.75" thickBot="1">
      <c r="A58" s="274" t="s">
        <v>974</v>
      </c>
      <c r="B58" s="269"/>
      <c r="C58" s="269"/>
      <c r="D58" s="269"/>
      <c r="E58" s="269"/>
      <c r="F58" s="269"/>
      <c r="G58" s="269"/>
      <c r="H58" s="269"/>
      <c r="I58" s="269"/>
      <c r="J58" s="269"/>
      <c r="K58" s="269"/>
      <c r="L58" s="264"/>
      <c r="M58" s="3" t="s">
        <v>111</v>
      </c>
      <c r="N58" s="4">
        <v>1.1000000000000001</v>
      </c>
      <c r="O58" s="1"/>
      <c r="P58" s="7"/>
    </row>
    <row r="59" spans="1:16">
      <c r="A59" s="678" t="s">
        <v>1001</v>
      </c>
      <c r="B59" s="679"/>
      <c r="C59" s="679"/>
      <c r="D59" s="679"/>
      <c r="E59" s="679"/>
      <c r="F59" s="679"/>
      <c r="G59" s="679"/>
      <c r="H59" s="679"/>
      <c r="I59" s="679"/>
      <c r="J59" s="679"/>
      <c r="K59" s="679"/>
      <c r="L59" s="680"/>
      <c r="M59" s="3" t="s">
        <v>108</v>
      </c>
      <c r="N59" s="4">
        <v>1</v>
      </c>
      <c r="O59" s="1"/>
      <c r="P59" s="7"/>
    </row>
    <row r="60" spans="1:16">
      <c r="A60" s="681"/>
      <c r="B60" s="682"/>
      <c r="C60" s="682"/>
      <c r="D60" s="682"/>
      <c r="E60" s="682"/>
      <c r="F60" s="682"/>
      <c r="G60" s="682"/>
      <c r="H60" s="682"/>
      <c r="I60" s="682"/>
      <c r="J60" s="682"/>
      <c r="K60" s="682"/>
      <c r="L60" s="683"/>
      <c r="M60" s="3" t="s">
        <v>112</v>
      </c>
      <c r="N60" s="4">
        <v>0.45</v>
      </c>
      <c r="O60" s="1"/>
      <c r="P60" s="7"/>
    </row>
    <row r="61" spans="1:16">
      <c r="A61" s="681"/>
      <c r="B61" s="682"/>
      <c r="C61" s="682"/>
      <c r="D61" s="682"/>
      <c r="E61" s="682"/>
      <c r="F61" s="682"/>
      <c r="G61" s="682"/>
      <c r="H61" s="682"/>
      <c r="I61" s="682"/>
      <c r="J61" s="682"/>
      <c r="K61" s="682"/>
      <c r="L61" s="683"/>
      <c r="M61" s="3" t="s">
        <v>274</v>
      </c>
      <c r="N61" s="4">
        <v>0.44</v>
      </c>
      <c r="O61" s="1"/>
      <c r="P61" s="7"/>
    </row>
    <row r="62" spans="1:16">
      <c r="A62" s="681"/>
      <c r="B62" s="682"/>
      <c r="C62" s="682"/>
      <c r="D62" s="682"/>
      <c r="E62" s="682"/>
      <c r="F62" s="682"/>
      <c r="G62" s="682"/>
      <c r="H62" s="682"/>
      <c r="I62" s="682"/>
      <c r="J62" s="682"/>
      <c r="K62" s="682"/>
      <c r="L62" s="683"/>
      <c r="M62" s="3" t="s">
        <v>110</v>
      </c>
      <c r="N62" s="4">
        <v>0.41</v>
      </c>
      <c r="O62" s="1"/>
      <c r="P62" s="7"/>
    </row>
    <row r="63" spans="1:16">
      <c r="A63" s="681"/>
      <c r="B63" s="682"/>
      <c r="C63" s="682"/>
      <c r="D63" s="682"/>
      <c r="E63" s="682"/>
      <c r="F63" s="682"/>
      <c r="G63" s="682"/>
      <c r="H63" s="682"/>
      <c r="I63" s="682"/>
      <c r="J63" s="682"/>
      <c r="K63" s="682"/>
      <c r="L63" s="683"/>
      <c r="M63" s="3" t="s">
        <v>573</v>
      </c>
      <c r="N63" s="4">
        <v>0.33</v>
      </c>
      <c r="O63" s="1"/>
      <c r="P63" s="7"/>
    </row>
    <row r="64" spans="1:16" ht="15.75" thickBot="1">
      <c r="A64" s="684"/>
      <c r="B64" s="685"/>
      <c r="C64" s="685"/>
      <c r="D64" s="685"/>
      <c r="E64" s="685"/>
      <c r="F64" s="685"/>
      <c r="G64" s="685"/>
      <c r="H64" s="685"/>
      <c r="I64" s="685"/>
      <c r="J64" s="685"/>
      <c r="K64" s="685"/>
      <c r="L64" s="686"/>
      <c r="M64" s="3" t="s">
        <v>109</v>
      </c>
      <c r="N64" s="4">
        <v>0.26</v>
      </c>
      <c r="O64" s="1"/>
      <c r="P64" s="7"/>
    </row>
    <row r="65" spans="13:14">
      <c r="M65" t="s">
        <v>113</v>
      </c>
      <c r="N65">
        <v>0.26</v>
      </c>
    </row>
    <row r="66" spans="13:14">
      <c r="M66" t="s">
        <v>33</v>
      </c>
      <c r="N66">
        <v>0.25</v>
      </c>
    </row>
    <row r="67" spans="13:14">
      <c r="M67" t="s">
        <v>27</v>
      </c>
      <c r="N67">
        <v>0.25</v>
      </c>
    </row>
    <row r="68" spans="13:14">
      <c r="M68" t="s">
        <v>34</v>
      </c>
      <c r="N68">
        <v>0.25</v>
      </c>
    </row>
    <row r="69" spans="13:14">
      <c r="M69" t="s">
        <v>74</v>
      </c>
      <c r="N69">
        <v>0.22</v>
      </c>
    </row>
    <row r="70" spans="13:14">
      <c r="M70" t="s">
        <v>275</v>
      </c>
      <c r="N70">
        <v>0.22</v>
      </c>
    </row>
    <row r="71" spans="13:14">
      <c r="M71" t="s">
        <v>32</v>
      </c>
      <c r="N71">
        <v>0.2</v>
      </c>
    </row>
    <row r="72" spans="13:14">
      <c r="M72" t="s">
        <v>31</v>
      </c>
      <c r="N72">
        <v>0.15</v>
      </c>
    </row>
    <row r="73" spans="13:14">
      <c r="M73" t="s">
        <v>276</v>
      </c>
      <c r="N73">
        <v>0.11</v>
      </c>
    </row>
    <row r="74" spans="13:14">
      <c r="M74" t="s">
        <v>277</v>
      </c>
      <c r="N74">
        <v>7.2999999999999995E-2</v>
      </c>
    </row>
    <row r="75" spans="13:14">
      <c r="M75" t="s">
        <v>20</v>
      </c>
    </row>
    <row r="77" spans="13:14">
      <c r="M77" t="s">
        <v>124</v>
      </c>
    </row>
    <row r="78" spans="13:14">
      <c r="M78" t="s">
        <v>125</v>
      </c>
    </row>
    <row r="80" spans="13:14">
      <c r="M80" t="s">
        <v>7</v>
      </c>
    </row>
    <row r="81" spans="13:14">
      <c r="M81" t="s">
        <v>1064</v>
      </c>
      <c r="N81">
        <f>G50</f>
        <v>0.2</v>
      </c>
    </row>
    <row r="82" spans="13:14">
      <c r="M82" t="s">
        <v>57</v>
      </c>
      <c r="N82">
        <v>-0.15</v>
      </c>
    </row>
    <row r="83" spans="13:14">
      <c r="M83" t="s">
        <v>195</v>
      </c>
      <c r="N83">
        <v>2.8</v>
      </c>
    </row>
    <row r="84" spans="13:14">
      <c r="M84" t="s">
        <v>572</v>
      </c>
      <c r="N84">
        <v>1.7</v>
      </c>
    </row>
    <row r="85" spans="13:14">
      <c r="M85" t="s">
        <v>8</v>
      </c>
      <c r="N85">
        <v>0.54</v>
      </c>
    </row>
    <row r="86" spans="13:14">
      <c r="M86" t="s">
        <v>38</v>
      </c>
      <c r="N86">
        <v>0.44</v>
      </c>
    </row>
    <row r="87" spans="13:14">
      <c r="M87" t="s">
        <v>274</v>
      </c>
      <c r="N87">
        <v>0.44</v>
      </c>
    </row>
    <row r="88" spans="13:14">
      <c r="M88" t="s">
        <v>37</v>
      </c>
      <c r="N88">
        <v>0.35</v>
      </c>
    </row>
    <row r="89" spans="13:14">
      <c r="M89" t="s">
        <v>116</v>
      </c>
      <c r="N89">
        <v>0.32</v>
      </c>
    </row>
    <row r="90" spans="13:14">
      <c r="M90" t="s">
        <v>36</v>
      </c>
      <c r="N90">
        <v>0.25</v>
      </c>
    </row>
    <row r="91" spans="13:14">
      <c r="M91" t="s">
        <v>275</v>
      </c>
      <c r="N91">
        <v>0.22</v>
      </c>
    </row>
    <row r="92" spans="13:14">
      <c r="M92" t="s">
        <v>117</v>
      </c>
      <c r="N92">
        <v>0.2</v>
      </c>
    </row>
    <row r="93" spans="13:14">
      <c r="M93" t="s">
        <v>74</v>
      </c>
      <c r="N93">
        <v>0.19</v>
      </c>
    </row>
    <row r="94" spans="13:14">
      <c r="M94" t="s">
        <v>35</v>
      </c>
      <c r="N94">
        <v>0.19</v>
      </c>
    </row>
    <row r="95" spans="13:14">
      <c r="M95" t="s">
        <v>194</v>
      </c>
      <c r="N95">
        <v>0.17</v>
      </c>
    </row>
    <row r="96" spans="13:14">
      <c r="M96" t="s">
        <v>32</v>
      </c>
      <c r="N96">
        <v>0.16</v>
      </c>
    </row>
    <row r="97" spans="13:16">
      <c r="M97" t="s">
        <v>31</v>
      </c>
      <c r="N97">
        <v>0.13</v>
      </c>
    </row>
    <row r="98" spans="13:16">
      <c r="M98" t="s">
        <v>276</v>
      </c>
      <c r="N98">
        <v>0.11</v>
      </c>
    </row>
    <row r="99" spans="13:16">
      <c r="M99" t="s">
        <v>277</v>
      </c>
      <c r="N99">
        <v>7.2999999999999995E-2</v>
      </c>
    </row>
    <row r="100" spans="13:16">
      <c r="M100" t="s">
        <v>20</v>
      </c>
    </row>
    <row r="102" spans="13:16">
      <c r="M102" t="s">
        <v>19</v>
      </c>
      <c r="N102" t="s">
        <v>234</v>
      </c>
      <c r="O102" t="s">
        <v>54</v>
      </c>
      <c r="P102" t="s">
        <v>233</v>
      </c>
    </row>
    <row r="103" spans="13:16">
      <c r="M103" t="s">
        <v>52</v>
      </c>
      <c r="N103">
        <v>-0.2</v>
      </c>
      <c r="O103">
        <v>11</v>
      </c>
      <c r="P103">
        <v>27</v>
      </c>
    </row>
    <row r="104" spans="13:16">
      <c r="M104" t="s">
        <v>118</v>
      </c>
      <c r="N104">
        <v>-1.2</v>
      </c>
      <c r="O104">
        <v>10.5</v>
      </c>
      <c r="P104">
        <v>68</v>
      </c>
    </row>
    <row r="105" spans="13:16">
      <c r="M105" t="s">
        <v>47</v>
      </c>
      <c r="N105">
        <v>-1.6</v>
      </c>
      <c r="O105">
        <v>9.9</v>
      </c>
      <c r="P105">
        <v>67</v>
      </c>
    </row>
    <row r="106" spans="13:16">
      <c r="M106" t="s">
        <v>50</v>
      </c>
      <c r="N106">
        <v>-1.8</v>
      </c>
      <c r="O106">
        <v>10.199999999999999</v>
      </c>
      <c r="P106">
        <v>25</v>
      </c>
    </row>
    <row r="107" spans="13:16">
      <c r="M107" t="s">
        <v>51</v>
      </c>
      <c r="N107">
        <v>-2.2000000000000002</v>
      </c>
      <c r="O107">
        <v>10</v>
      </c>
      <c r="P107">
        <v>75</v>
      </c>
    </row>
    <row r="108" spans="13:16">
      <c r="M108" t="s">
        <v>46</v>
      </c>
      <c r="N108">
        <v>-3.4</v>
      </c>
      <c r="O108">
        <v>9.8000000000000007</v>
      </c>
      <c r="P108">
        <v>96</v>
      </c>
    </row>
    <row r="109" spans="13:16">
      <c r="M109" t="s">
        <v>48</v>
      </c>
      <c r="N109">
        <v>-3.4</v>
      </c>
      <c r="O109">
        <v>8.5</v>
      </c>
      <c r="P109">
        <v>35</v>
      </c>
    </row>
    <row r="110" spans="13:16">
      <c r="M110" t="s">
        <v>49</v>
      </c>
      <c r="N110">
        <v>-3.9</v>
      </c>
      <c r="O110">
        <v>8.5</v>
      </c>
      <c r="P110">
        <v>5</v>
      </c>
    </row>
    <row r="111" spans="13:16">
      <c r="M111" t="s">
        <v>808</v>
      </c>
      <c r="N111">
        <v>-0.2</v>
      </c>
      <c r="O111">
        <v>11</v>
      </c>
      <c r="P111">
        <v>0</v>
      </c>
    </row>
    <row r="112" spans="13:16">
      <c r="M112" t="s">
        <v>63</v>
      </c>
      <c r="N112" t="s">
        <v>68</v>
      </c>
    </row>
    <row r="113" spans="13:14">
      <c r="M113" t="s">
        <v>1064</v>
      </c>
      <c r="N113" t="e">
        <f>#REF!</f>
        <v>#REF!</v>
      </c>
    </row>
    <row r="114" spans="13:14">
      <c r="M114" t="s">
        <v>69</v>
      </c>
      <c r="N114">
        <v>0.2</v>
      </c>
    </row>
    <row r="115" spans="13:14">
      <c r="M115" t="s">
        <v>971</v>
      </c>
      <c r="N115">
        <v>0.57999999999999996</v>
      </c>
    </row>
    <row r="116" spans="13:14">
      <c r="M116" t="s">
        <v>67</v>
      </c>
      <c r="N116">
        <v>0.7</v>
      </c>
    </row>
    <row r="117" spans="13:14">
      <c r="M117" t="s">
        <v>972</v>
      </c>
      <c r="N117">
        <v>1.5</v>
      </c>
    </row>
    <row r="118" spans="13:14">
      <c r="M118" t="s">
        <v>62</v>
      </c>
      <c r="N118">
        <v>1.5</v>
      </c>
    </row>
    <row r="119" spans="13:14">
      <c r="M119" t="s">
        <v>64</v>
      </c>
      <c r="N119">
        <v>1</v>
      </c>
    </row>
    <row r="120" spans="13:14">
      <c r="M120" t="s">
        <v>65</v>
      </c>
      <c r="N120">
        <v>2</v>
      </c>
    </row>
    <row r="121" spans="13:14">
      <c r="M121" t="s">
        <v>60</v>
      </c>
      <c r="N121">
        <v>2</v>
      </c>
    </row>
    <row r="122" spans="13:14">
      <c r="M122" t="s">
        <v>66</v>
      </c>
      <c r="N122">
        <v>2</v>
      </c>
    </row>
    <row r="123" spans="13:14">
      <c r="M123" t="s">
        <v>89</v>
      </c>
    </row>
    <row r="129" spans="13:16">
      <c r="M129" t="s">
        <v>138</v>
      </c>
      <c r="N129" t="s">
        <v>571</v>
      </c>
      <c r="O129" t="s">
        <v>570</v>
      </c>
      <c r="P129" t="s">
        <v>569</v>
      </c>
    </row>
    <row r="130" spans="13:16">
      <c r="M130">
        <v>35</v>
      </c>
      <c r="N130">
        <v>6.8</v>
      </c>
      <c r="O130">
        <v>3.6</v>
      </c>
      <c r="P130" t="s">
        <v>470</v>
      </c>
    </row>
    <row r="131" spans="13:16">
      <c r="M131">
        <v>40</v>
      </c>
      <c r="N131">
        <v>4.3</v>
      </c>
      <c r="O131">
        <v>3.4</v>
      </c>
      <c r="P131" t="s">
        <v>469</v>
      </c>
    </row>
    <row r="132" spans="13:16">
      <c r="M132" s="3">
        <v>45</v>
      </c>
      <c r="N132" s="3">
        <v>3.1</v>
      </c>
      <c r="O132" s="3">
        <v>3</v>
      </c>
      <c r="P132" s="3" t="s">
        <v>468</v>
      </c>
    </row>
    <row r="133" spans="13:16">
      <c r="M133" s="3">
        <v>50</v>
      </c>
      <c r="N133" s="3">
        <v>2.4</v>
      </c>
      <c r="O133" s="3">
        <v>2.7</v>
      </c>
      <c r="P133" s="3" t="s">
        <v>426</v>
      </c>
    </row>
    <row r="134" spans="13:16">
      <c r="M134" s="3">
        <v>55</v>
      </c>
      <c r="N134" s="3">
        <v>1.9</v>
      </c>
      <c r="O134" s="3">
        <v>2.4</v>
      </c>
      <c r="P134" s="3" t="s">
        <v>467</v>
      </c>
    </row>
    <row r="135" spans="13:16">
      <c r="M135" s="3">
        <v>60</v>
      </c>
      <c r="N135" s="3">
        <v>1.4</v>
      </c>
      <c r="O135" s="3">
        <v>2.1</v>
      </c>
      <c r="P135" s="3" t="s">
        <v>466</v>
      </c>
    </row>
    <row r="136" spans="13:16">
      <c r="M136" s="3">
        <v>65</v>
      </c>
      <c r="N136" s="3">
        <v>1.2</v>
      </c>
      <c r="O136" s="3" t="s">
        <v>212</v>
      </c>
      <c r="P136" s="3" t="s">
        <v>738</v>
      </c>
    </row>
    <row r="138" spans="13:16">
      <c r="M138" t="s">
        <v>1024</v>
      </c>
    </row>
    <row r="139" spans="13:16">
      <c r="M139" t="s">
        <v>1005</v>
      </c>
    </row>
    <row r="140" spans="13:16">
      <c r="M140" t="s">
        <v>1006</v>
      </c>
    </row>
    <row r="141" spans="13:16">
      <c r="M141" t="s">
        <v>1007</v>
      </c>
    </row>
    <row r="142" spans="13:16">
      <c r="M142" t="s">
        <v>1008</v>
      </c>
    </row>
    <row r="143" spans="13:16">
      <c r="M143" t="s">
        <v>1009</v>
      </c>
    </row>
    <row r="144" spans="13:16" ht="120">
      <c r="M144" s="553" t="s">
        <v>1010</v>
      </c>
    </row>
    <row r="145" spans="13:13">
      <c r="M145" t="s">
        <v>1011</v>
      </c>
    </row>
    <row r="146" spans="13:13">
      <c r="M146" t="s">
        <v>1012</v>
      </c>
    </row>
    <row r="147" spans="13:13">
      <c r="M147" t="s">
        <v>1013</v>
      </c>
    </row>
    <row r="148" spans="13:13">
      <c r="M148" t="s">
        <v>1014</v>
      </c>
    </row>
    <row r="149" spans="13:13">
      <c r="M149" t="s">
        <v>1015</v>
      </c>
    </row>
    <row r="150" spans="13:13">
      <c r="M150" t="s">
        <v>1016</v>
      </c>
    </row>
    <row r="151" spans="13:13">
      <c r="M151" t="s">
        <v>1017</v>
      </c>
    </row>
    <row r="152" spans="13:13">
      <c r="M152" t="s">
        <v>1018</v>
      </c>
    </row>
    <row r="153" spans="13:13">
      <c r="M153" t="s">
        <v>1019</v>
      </c>
    </row>
    <row r="154" spans="13:13">
      <c r="M154" t="s">
        <v>1020</v>
      </c>
    </row>
    <row r="155" spans="13:13">
      <c r="M155" t="s">
        <v>1021</v>
      </c>
    </row>
    <row r="156" spans="13:13">
      <c r="M156" t="s">
        <v>1047</v>
      </c>
    </row>
    <row r="157" spans="13:13">
      <c r="M157" t="s">
        <v>1022</v>
      </c>
    </row>
  </sheetData>
  <sheetProtection algorithmName="SHA-512" hashValue="OGRWp0EgJ+6atVQZWY6KFzOMURpsdP8BJS0orcTSldtiSpr3d3/TO81aElMV0Nq0Jm71XKq/1qfYkBL2hMi/9w==" saltValue="FBgn9a49uu5N8dpeVaErEQ==" spinCount="100000" sheet="1" selectLockedCells="1"/>
  <mergeCells count="67">
    <mergeCell ref="B41:C41"/>
    <mergeCell ref="D4:J4"/>
    <mergeCell ref="D18:J18"/>
    <mergeCell ref="D19:J19"/>
    <mergeCell ref="D20:J20"/>
    <mergeCell ref="D10:J10"/>
    <mergeCell ref="D5:J5"/>
    <mergeCell ref="D6:J6"/>
    <mergeCell ref="D7:J7"/>
    <mergeCell ref="D28:E28"/>
    <mergeCell ref="D31:E31"/>
    <mergeCell ref="D21:J21"/>
    <mergeCell ref="D22:J22"/>
    <mergeCell ref="I28:J28"/>
    <mergeCell ref="G31:H31"/>
    <mergeCell ref="I31:J31"/>
    <mergeCell ref="I27:J27"/>
    <mergeCell ref="I29:J29"/>
    <mergeCell ref="I30:J30"/>
    <mergeCell ref="D27:E27"/>
    <mergeCell ref="D9:J9"/>
    <mergeCell ref="G27:H27"/>
    <mergeCell ref="G29:H29"/>
    <mergeCell ref="G28:H28"/>
    <mergeCell ref="D11:J11"/>
    <mergeCell ref="D12:J12"/>
    <mergeCell ref="D13:J13"/>
    <mergeCell ref="D14:J14"/>
    <mergeCell ref="D15:J15"/>
    <mergeCell ref="D16:J16"/>
    <mergeCell ref="B42:C42"/>
    <mergeCell ref="G49:H49"/>
    <mergeCell ref="D49:F49"/>
    <mergeCell ref="D48:F48"/>
    <mergeCell ref="G48:H48"/>
    <mergeCell ref="A57:L57"/>
    <mergeCell ref="A59:L64"/>
    <mergeCell ref="D29:E29"/>
    <mergeCell ref="D30:E30"/>
    <mergeCell ref="D32:E32"/>
    <mergeCell ref="D33:E33"/>
    <mergeCell ref="G50:H50"/>
    <mergeCell ref="D50:F50"/>
    <mergeCell ref="G47:H47"/>
    <mergeCell ref="D47:F47"/>
    <mergeCell ref="I32:J32"/>
    <mergeCell ref="G32:H32"/>
    <mergeCell ref="G51:H51"/>
    <mergeCell ref="D51:F51"/>
    <mergeCell ref="G30:H30"/>
    <mergeCell ref="A54:L54"/>
    <mergeCell ref="I33:J35"/>
    <mergeCell ref="G33:H35"/>
    <mergeCell ref="A55:L55"/>
    <mergeCell ref="A56:L56"/>
    <mergeCell ref="D37:E37"/>
    <mergeCell ref="D38:E38"/>
    <mergeCell ref="D39:E39"/>
    <mergeCell ref="D40:E40"/>
    <mergeCell ref="D41:E41"/>
    <mergeCell ref="D42:E42"/>
    <mergeCell ref="D43:E43"/>
    <mergeCell ref="B37:C37"/>
    <mergeCell ref="B38:C38"/>
    <mergeCell ref="B39:C39"/>
    <mergeCell ref="B40:C40"/>
    <mergeCell ref="B43:C43"/>
  </mergeCells>
  <dataValidations xWindow="342" yWindow="623" count="14">
    <dataValidation allowBlank="1" showInputMessage="1" showErrorMessage="1" prompt="Input name of the owner" sqref="D10:D16">
      <formula1>0</formula1>
      <formula2>0</formula2>
    </dataValidation>
    <dataValidation allowBlank="1" showInputMessage="1" showErrorMessage="1" promptTitle="caution" prompt="If you change the values here it overwrites the formulas. Its not possible to reverse this so please save as and use a new sheet for your next calculation." sqref="G48:G49"/>
    <dataValidation type="list" allowBlank="1" showInputMessage="1" showErrorMessage="1" sqref="D48">
      <formula1>$M$24:$M$49</formula1>
    </dataValidation>
    <dataValidation type="list" allowBlank="1" showInputMessage="1" showErrorMessage="1" sqref="D50">
      <formula1>$M$82:$M$100</formula1>
    </dataValidation>
    <dataValidation type="list" allowBlank="1" showInputMessage="1" showErrorMessage="1" sqref="D49">
      <formula1>$M$5:$M$16</formula1>
    </dataValidation>
    <dataValidation type="list" allowBlank="1" showInputMessage="1" showErrorMessage="1" sqref="D28:E28">
      <formula1>$M$103:$M$111</formula1>
    </dataValidation>
    <dataValidation type="list" allowBlank="1" showInputMessage="1" showErrorMessage="1" sqref="I31">
      <formula1>"Heating Only,Heating and Hot Water,Combi Hybrid,System Hybrid"</formula1>
    </dataValidation>
    <dataValidation type="list" allowBlank="1" showInputMessage="1" showErrorMessage="1" sqref="I32">
      <formula1>"not a hybrid,0,1,2,3,4,5,6,7"</formula1>
    </dataValidation>
    <dataValidation type="list" allowBlank="1" showInputMessage="1" showErrorMessage="1" sqref="C43">
      <formula1>$A$98:$A$106</formula1>
    </dataValidation>
    <dataValidation type="list" allowBlank="1" showInputMessage="1" showErrorMessage="1" sqref="C39 D38">
      <formula1>"Yes, No"</formula1>
    </dataValidation>
    <dataValidation type="list" allowBlank="1" showInputMessage="1" showErrorMessage="1" sqref="D43:E43">
      <formula1>"45,50,55,60"</formula1>
    </dataValidation>
    <dataValidation type="list" allowBlank="1" showInputMessage="1" showErrorMessage="1" sqref="D39">
      <formula1>"1,2,3,4,5,6,7"</formula1>
    </dataValidation>
    <dataValidation type="list" allowBlank="1" showInputMessage="1" showErrorMessage="1" sqref="D51">
      <formula1>$M$55:$M$75</formula1>
    </dataValidation>
    <dataValidation type="list" allowBlank="1" showInputMessage="1" showErrorMessage="1" sqref="I28:J28">
      <formula1>"35,40,45,50,55,60,65"</formula1>
    </dataValidation>
  </dataValidations>
  <pageMargins left="0.7" right="0.7" top="0.75" bottom="0.75" header="0.3" footer="0.3"/>
  <pageSetup paperSize="9" orientation="portrait"/>
  <drawing r:id="rId1"/>
  <legacyDrawing r:id="rId2"/>
  <extLst xmlns:x14="http://schemas.microsoft.com/office/spreadsheetml/2009/9/main">
    <ext uri="{CCE6A557-97BC-4b89-ADB6-D9C93CAAB3DF}">
      <x14:dataValidations xmlns:xm="http://schemas.microsoft.com/office/excel/2006/main" xWindow="342" yWindow="623" count="2">
        <x14:dataValidation type="list" allowBlank="1" showInputMessage="1" showErrorMessage="1">
          <x14:formula1>
            <xm:f>'MCS calc and run costs '!$H$71:$H$80</xm:f>
          </x14:formula1>
          <xm:sqref>I33:J35</xm:sqref>
        </x14:dataValidation>
        <x14:dataValidation type="list" allowBlank="1" showInputMessage="1" showErrorMessage="1">
          <x14:formula1>
            <xm:f>equipment!$D$107:$D$112</xm:f>
          </x14:formula1>
          <xm:sqref>D42:E42</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sheetPr enableFormatConditionsCalculation="0">
    <tabColor theme="3" tint="0.59999389629810485"/>
  </sheetPr>
  <dimension ref="A1:T1220"/>
  <sheetViews>
    <sheetView topLeftCell="H1" zoomScaleNormal="100" workbookViewId="0">
      <selection activeCell="D99" sqref="D99"/>
    </sheetView>
  </sheetViews>
  <sheetFormatPr defaultColWidth="20.85546875" defaultRowHeight="14.25" customHeight="1"/>
  <cols>
    <col min="1" max="1" width="32.28515625" style="1" customWidth="1"/>
    <col min="2" max="2" width="37.28515625" style="1" customWidth="1"/>
    <col min="3" max="3" width="2.85546875" style="1" customWidth="1"/>
    <col min="4" max="4" width="15.42578125" style="1" customWidth="1"/>
    <col min="5" max="5" width="18.42578125" style="1" customWidth="1"/>
    <col min="6" max="6" width="14.42578125" style="1" customWidth="1"/>
    <col min="7" max="7" width="19.85546875" style="1" customWidth="1"/>
    <col min="8" max="8" width="19.28515625" style="1" customWidth="1"/>
    <col min="9" max="9" width="25.140625" style="1" hidden="1" customWidth="1"/>
    <col min="10" max="10" width="25" style="1" hidden="1" customWidth="1"/>
    <col min="11" max="11" width="11.28515625" style="1" hidden="1" customWidth="1"/>
    <col min="12" max="12" width="9.42578125" style="1" hidden="1" customWidth="1"/>
    <col min="13" max="13" width="10.140625" style="7" customWidth="1"/>
    <col min="14" max="15" width="20.85546875" style="7" customWidth="1"/>
    <col min="16" max="16" width="20.85546875" style="1" customWidth="1"/>
    <col min="17" max="16384" width="20.85546875" style="1"/>
  </cols>
  <sheetData>
    <row r="1" spans="1:15" ht="21.75" customHeight="1">
      <c r="A1" s="270"/>
      <c r="B1" s="270"/>
      <c r="C1" s="270"/>
      <c r="D1" s="270"/>
      <c r="E1" s="270"/>
      <c r="F1" s="270"/>
      <c r="G1" s="270"/>
      <c r="H1" s="266"/>
      <c r="I1"/>
      <c r="J1"/>
      <c r="K1"/>
      <c r="L1"/>
      <c r="M1"/>
      <c r="N1" s="1"/>
      <c r="O1" s="1"/>
    </row>
    <row r="2" spans="1:15" ht="24" thickBot="1">
      <c r="A2" s="268" t="s">
        <v>235</v>
      </c>
      <c r="B2" s="262"/>
      <c r="C2" s="262"/>
      <c r="D2" s="269"/>
      <c r="E2" s="275" t="s">
        <v>9</v>
      </c>
      <c r="F2" s="270"/>
      <c r="G2" s="270"/>
      <c r="H2" s="265"/>
      <c r="I2" s="5" t="s">
        <v>17</v>
      </c>
      <c r="K2" s="24"/>
      <c r="L2" s="7"/>
      <c r="M2"/>
      <c r="N2" s="1"/>
      <c r="O2" s="1"/>
    </row>
    <row r="3" spans="1:15" ht="15.75" thickBot="1">
      <c r="A3" s="270"/>
      <c r="B3" s="270"/>
      <c r="C3" s="270"/>
      <c r="D3" s="270"/>
      <c r="E3" s="274" t="s">
        <v>73</v>
      </c>
      <c r="F3" s="274"/>
      <c r="G3" s="314">
        <f>G11+G43+G75+G107+G139+G171+G203+G235+G267+G299+G331+G363+G427+G395+G459+G491+G523+G555+G587+G619+G651+G683+G715+G747+G779+G811+G843+G875+G907+G939+G971+G1003+G1035+G1067+G1099+G1131+G1163+G1195</f>
        <v>6462.9997995215308</v>
      </c>
      <c r="H3" s="267" t="s">
        <v>10</v>
      </c>
      <c r="I3" s="2" t="s">
        <v>0</v>
      </c>
      <c r="J3" s="2"/>
      <c r="L3" s="7"/>
      <c r="M3"/>
      <c r="N3" s="1"/>
      <c r="O3" s="1"/>
    </row>
    <row r="4" spans="1:15" ht="15.75" thickBot="1">
      <c r="A4" s="270"/>
      <c r="B4" s="270"/>
      <c r="C4" s="270"/>
      <c r="D4" s="270"/>
      <c r="E4" s="274" t="s">
        <v>75</v>
      </c>
      <c r="F4" s="274"/>
      <c r="G4" s="314">
        <f>B17+B49+B81+B113+B145+B177+B209+BB58229+B241+B273+B305+B337+B369+B401+B433+B465+B497+B529+B561+B593+B625+B657+B689+B721+B753+B785+B817+B849+B881+B913+B945+B977+B1009+B1041+B1073+B1105+B1137+B1169+B1201</f>
        <v>81.7</v>
      </c>
      <c r="H4" s="554" t="s">
        <v>61</v>
      </c>
      <c r="I4" s="3" t="s">
        <v>1064</v>
      </c>
      <c r="J4" s="4">
        <f>'Data Entry Sheet'!G49</f>
        <v>2.8</v>
      </c>
      <c r="K4" s="24"/>
      <c r="L4" s="7"/>
      <c r="M4"/>
      <c r="N4" s="1"/>
      <c r="O4" s="1"/>
    </row>
    <row r="5" spans="1:15" ht="14.25" customHeight="1" thickBot="1">
      <c r="A5" s="269"/>
      <c r="B5" s="269"/>
      <c r="C5" s="269"/>
      <c r="D5" s="269"/>
      <c r="E5" s="269"/>
      <c r="F5" s="269"/>
      <c r="G5" s="269"/>
      <c r="H5" s="555"/>
      <c r="I5" s="3" t="s">
        <v>5</v>
      </c>
      <c r="J5" s="4">
        <v>5.8</v>
      </c>
      <c r="K5" s="24"/>
      <c r="L5" s="7"/>
      <c r="M5"/>
      <c r="N5" s="1"/>
      <c r="O5" s="1"/>
    </row>
    <row r="6" spans="1:15" ht="14.25" customHeight="1">
      <c r="A6" s="719" t="s">
        <v>70</v>
      </c>
      <c r="B6" s="292"/>
      <c r="C6" s="293"/>
      <c r="D6" s="293"/>
      <c r="E6" s="293"/>
      <c r="F6" s="294"/>
      <c r="G6" s="419"/>
      <c r="H6" s="264"/>
      <c r="I6" s="3" t="s">
        <v>3</v>
      </c>
      <c r="J6" s="4">
        <v>4.8</v>
      </c>
      <c r="K6" s="24"/>
      <c r="L6" s="7"/>
      <c r="M6"/>
      <c r="N6" s="1"/>
      <c r="O6" s="1"/>
    </row>
    <row r="7" spans="1:15" ht="14.25" customHeight="1">
      <c r="A7" s="720"/>
      <c r="B7" s="13" t="s">
        <v>65</v>
      </c>
      <c r="C7" s="269"/>
      <c r="D7" s="299"/>
      <c r="E7" s="269"/>
      <c r="F7" s="269"/>
      <c r="G7" s="516"/>
      <c r="H7" s="264"/>
      <c r="I7" s="3" t="s">
        <v>2</v>
      </c>
      <c r="J7" s="4">
        <v>4.2</v>
      </c>
      <c r="K7" s="24"/>
      <c r="L7" s="7"/>
      <c r="M7"/>
      <c r="N7" s="1"/>
      <c r="O7" s="1"/>
    </row>
    <row r="8" spans="1:15" ht="14.25" customHeight="1">
      <c r="A8" s="273" t="s">
        <v>568</v>
      </c>
      <c r="B8" s="14">
        <v>18</v>
      </c>
      <c r="C8" s="397"/>
      <c r="D8" s="516" t="s">
        <v>567</v>
      </c>
      <c r="E8" s="516" t="s">
        <v>9</v>
      </c>
      <c r="F8" s="296"/>
      <c r="G8" s="297" t="s">
        <v>566</v>
      </c>
      <c r="H8" s="298"/>
      <c r="I8" s="3" t="s">
        <v>92</v>
      </c>
      <c r="J8" s="4">
        <v>3</v>
      </c>
      <c r="K8" s="24"/>
      <c r="L8" s="7"/>
      <c r="M8"/>
      <c r="N8" s="1"/>
    </row>
    <row r="9" spans="1:15" ht="14.25" customHeight="1">
      <c r="A9" s="273" t="s">
        <v>565</v>
      </c>
      <c r="B9" s="14">
        <v>2.4</v>
      </c>
      <c r="C9" s="397"/>
      <c r="D9" s="269"/>
      <c r="E9" s="516"/>
      <c r="F9" s="296"/>
      <c r="G9" s="516"/>
      <c r="H9" s="298"/>
      <c r="I9" s="3" t="s">
        <v>581</v>
      </c>
      <c r="J9" s="4">
        <v>3</v>
      </c>
      <c r="K9" s="24"/>
      <c r="L9" s="7"/>
      <c r="M9"/>
      <c r="N9" s="1"/>
      <c r="O9" s="1"/>
    </row>
    <row r="10" spans="1:15" ht="14.25" customHeight="1">
      <c r="A10" s="273" t="s">
        <v>564</v>
      </c>
      <c r="B10" s="15">
        <v>7.2</v>
      </c>
      <c r="C10" s="397"/>
      <c r="D10" s="269"/>
      <c r="E10" s="269"/>
      <c r="F10" s="296"/>
      <c r="G10" s="516"/>
      <c r="H10" s="298"/>
      <c r="I10" s="3" t="s">
        <v>1</v>
      </c>
      <c r="J10" s="4">
        <v>2.8</v>
      </c>
      <c r="K10" s="24"/>
      <c r="L10" s="7"/>
      <c r="M10"/>
      <c r="N10" s="1"/>
      <c r="O10" s="1"/>
    </row>
    <row r="11" spans="1:15" ht="15" customHeight="1">
      <c r="A11" s="272" t="s">
        <v>563</v>
      </c>
      <c r="B11" s="11" t="s">
        <v>241</v>
      </c>
      <c r="C11" s="269"/>
      <c r="D11" s="464">
        <f>VLOOKUP(B11,$I$23:$J$49,2,FALSE)</f>
        <v>0.42</v>
      </c>
      <c r="E11" s="311">
        <f>(((B9)*B10)-B12)*(D11+0.15)*(B8-'Data Entry Sheet'!$D$32)</f>
        <v>169.03919999999999</v>
      </c>
      <c r="F11" s="299" t="s">
        <v>10</v>
      </c>
      <c r="G11" s="309">
        <f>SUM(E11:E20)*((B9+81)/83.6)</f>
        <v>997.85027368421061</v>
      </c>
      <c r="H11" s="264"/>
      <c r="I11" s="3" t="s">
        <v>33</v>
      </c>
      <c r="J11" s="4">
        <v>2.2000000000000002</v>
      </c>
      <c r="K11" s="24"/>
      <c r="L11" s="7"/>
      <c r="M11"/>
      <c r="N11" s="1"/>
      <c r="O11" s="1"/>
    </row>
    <row r="12" spans="1:15" ht="15" customHeight="1" thickBot="1">
      <c r="A12" s="290" t="s">
        <v>562</v>
      </c>
      <c r="B12" s="15">
        <v>3.8</v>
      </c>
      <c r="C12" s="269"/>
      <c r="D12" s="397"/>
      <c r="E12" s="289"/>
      <c r="F12" s="299"/>
      <c r="G12" s="297" t="s">
        <v>243</v>
      </c>
      <c r="H12" s="298"/>
      <c r="I12" s="3" t="s">
        <v>74</v>
      </c>
      <c r="J12" s="4">
        <v>2</v>
      </c>
      <c r="K12" s="24"/>
      <c r="L12"/>
      <c r="M12"/>
      <c r="N12" s="1"/>
      <c r="O12" s="1"/>
    </row>
    <row r="13" spans="1:15" ht="15" customHeight="1" thickBot="1">
      <c r="A13" s="290" t="s">
        <v>561</v>
      </c>
      <c r="B13" s="11" t="s">
        <v>1064</v>
      </c>
      <c r="C13" s="269"/>
      <c r="D13" s="464">
        <f>VLOOKUP(B13,$I$4:$J$16,2,FALSE)</f>
        <v>2.8</v>
      </c>
      <c r="E13" s="311">
        <f>B12*(D13+0.15)*(B8-'Data Entry Sheet'!$D$32)</f>
        <v>246.61999999999998</v>
      </c>
      <c r="F13" s="299" t="s">
        <v>10</v>
      </c>
      <c r="G13" s="420">
        <f>G11/B17</f>
        <v>76.757713360323891</v>
      </c>
      <c r="H13" s="264"/>
      <c r="I13" s="3" t="s">
        <v>34</v>
      </c>
      <c r="J13" s="4">
        <v>2</v>
      </c>
      <c r="K13" s="24"/>
      <c r="L13" s="7"/>
      <c r="M13"/>
      <c r="N13" s="1"/>
      <c r="O13" s="1"/>
    </row>
    <row r="14" spans="1:15" ht="14.25" customHeight="1">
      <c r="A14" s="290" t="s">
        <v>560</v>
      </c>
      <c r="B14" s="11">
        <v>0</v>
      </c>
      <c r="C14" s="397"/>
      <c r="D14" s="516"/>
      <c r="E14" s="305"/>
      <c r="F14" s="299"/>
      <c r="G14" s="470" t="s">
        <v>127</v>
      </c>
      <c r="H14" s="298"/>
      <c r="I14" s="3" t="s">
        <v>128</v>
      </c>
      <c r="J14" s="4">
        <v>1.2</v>
      </c>
      <c r="K14" s="24"/>
      <c r="L14" s="7"/>
      <c r="M14"/>
      <c r="N14" s="1"/>
      <c r="O14" s="1"/>
    </row>
    <row r="15" spans="1:15" ht="14.25" customHeight="1">
      <c r="A15" s="290" t="s">
        <v>559</v>
      </c>
      <c r="B15" s="11">
        <v>0</v>
      </c>
      <c r="C15" s="397"/>
      <c r="D15" s="516"/>
      <c r="E15" s="305"/>
      <c r="F15" s="299"/>
      <c r="G15" s="309">
        <f>+IF(A25="UFH",(G11*0.71/85),((+IF(D29="dp+type21",14.5)+IF(D29="SC_type11",7.3)+IF(D29="SC",7)+IF(D29="DC_type22",14.5))*(A29*B29))/1000000)</f>
        <v>0</v>
      </c>
      <c r="H15" s="298" t="s">
        <v>244</v>
      </c>
      <c r="I15" s="3" t="s">
        <v>31</v>
      </c>
      <c r="J15" s="4">
        <v>0.7</v>
      </c>
      <c r="K15" s="24"/>
      <c r="L15" s="7"/>
      <c r="M15"/>
      <c r="N15" s="1"/>
      <c r="O15" s="1"/>
    </row>
    <row r="16" spans="1:15" ht="14.25" customHeight="1">
      <c r="A16" s="290" t="s">
        <v>558</v>
      </c>
      <c r="B16" s="11" t="s">
        <v>1064</v>
      </c>
      <c r="C16" s="269"/>
      <c r="D16" s="464">
        <f>VLOOKUP(B16,$I$81:$J$100,2,FALSE)</f>
        <v>0.2</v>
      </c>
      <c r="E16" s="311">
        <f>((B14-B15)*(D16+0.15)*(B8-'Data Entry Sheet'!D32))+(B15*(B8-'Data Entry Sheet'!$D$32)*2.8)</f>
        <v>0</v>
      </c>
      <c r="F16" s="299" t="s">
        <v>10</v>
      </c>
      <c r="G16" s="516"/>
      <c r="H16" s="298"/>
      <c r="I16" s="3" t="s">
        <v>20</v>
      </c>
      <c r="J16" s="4"/>
      <c r="K16" s="24"/>
      <c r="L16" s="7"/>
      <c r="M16"/>
      <c r="N16" s="1"/>
      <c r="O16" s="1"/>
    </row>
    <row r="17" spans="1:19" ht="14.25" customHeight="1">
      <c r="A17" s="290" t="s">
        <v>557</v>
      </c>
      <c r="B17" s="11">
        <v>13</v>
      </c>
      <c r="C17" s="397"/>
      <c r="D17" s="305"/>
      <c r="E17" s="305"/>
      <c r="F17" s="300"/>
      <c r="G17" s="516"/>
      <c r="H17" s="298"/>
      <c r="I17"/>
      <c r="J17"/>
      <c r="K17" s="24"/>
      <c r="L17" s="7"/>
      <c r="M17"/>
      <c r="N17" s="1"/>
      <c r="O17" s="1"/>
    </row>
    <row r="18" spans="1:19" ht="15" customHeight="1">
      <c r="A18" s="290" t="s">
        <v>556</v>
      </c>
      <c r="B18" s="11" t="s">
        <v>1064</v>
      </c>
      <c r="C18" s="269"/>
      <c r="D18" s="464">
        <f>VLOOKUP(B18,$I$54:$J$75,2,FALSE)</f>
        <v>1</v>
      </c>
      <c r="E18" s="311">
        <f>B17*(D18+0.15)*(B8-( IF(B18="suspended wood ",'Data Entry Sheet'!$D$32,'Data Entry Sheet'!$D$33)))</f>
        <v>131.55999999999997</v>
      </c>
      <c r="F18" s="299" t="s">
        <v>10</v>
      </c>
      <c r="G18" s="516"/>
      <c r="H18" s="298"/>
      <c r="I18"/>
      <c r="J18"/>
      <c r="K18" s="24"/>
      <c r="L18" s="7"/>
      <c r="M18"/>
      <c r="N18" s="1"/>
      <c r="O18" s="1"/>
    </row>
    <row r="19" spans="1:19" ht="15" customHeight="1">
      <c r="A19" s="290"/>
      <c r="B19" s="289"/>
      <c r="C19" s="516"/>
      <c r="D19" s="307"/>
      <c r="E19" s="307"/>
      <c r="F19" s="299"/>
      <c r="G19" s="516"/>
      <c r="H19" s="298"/>
      <c r="I19"/>
      <c r="J19"/>
      <c r="K19" s="24"/>
      <c r="L19" s="8"/>
      <c r="M19"/>
      <c r="N19" s="1"/>
      <c r="O19" s="1"/>
    </row>
    <row r="20" spans="1:19" ht="15.75" customHeight="1">
      <c r="A20" s="291" t="s">
        <v>555</v>
      </c>
      <c r="B20" s="579" t="s">
        <v>65</v>
      </c>
      <c r="C20" s="269"/>
      <c r="D20" s="464">
        <f>VLOOKUP(B20,$I$113:J123,2,FALSE)</f>
        <v>2</v>
      </c>
      <c r="E20" s="311">
        <f>(B8-'Data Entry Sheet'!$D$32)*0.33*(B17*B9)*D20</f>
        <v>453.02400000000006</v>
      </c>
      <c r="F20" s="299" t="s">
        <v>10</v>
      </c>
      <c r="G20" s="516"/>
      <c r="H20" s="298"/>
      <c r="I20"/>
      <c r="J20"/>
      <c r="L20" s="8"/>
      <c r="M20"/>
      <c r="N20" s="1"/>
      <c r="O20" s="1"/>
    </row>
    <row r="21" spans="1:19" ht="14.25" customHeight="1">
      <c r="A21" s="268"/>
      <c r="B21" s="289"/>
      <c r="C21" s="289"/>
      <c r="D21" s="289"/>
      <c r="E21" s="289"/>
      <c r="F21" s="301"/>
      <c r="G21" s="421"/>
      <c r="H21" s="264"/>
      <c r="L21" s="8"/>
      <c r="M21"/>
      <c r="N21" s="1"/>
      <c r="O21" s="1"/>
    </row>
    <row r="22" spans="1:19" ht="15" customHeight="1">
      <c r="A22" s="721" t="s">
        <v>554</v>
      </c>
      <c r="B22" s="289"/>
      <c r="C22" s="289"/>
      <c r="D22" s="289"/>
      <c r="E22" s="289"/>
      <c r="F22" s="289"/>
      <c r="G22" s="299"/>
      <c r="H22" s="302"/>
      <c r="I22" s="2" t="s">
        <v>6</v>
      </c>
      <c r="J22" s="2"/>
      <c r="L22" s="8"/>
      <c r="M22"/>
      <c r="N22" s="1"/>
      <c r="O22" s="1"/>
    </row>
    <row r="23" spans="1:19" ht="15.75" customHeight="1">
      <c r="A23" s="721"/>
      <c r="C23" s="289"/>
      <c r="D23" s="289"/>
      <c r="E23" s="421"/>
      <c r="F23" s="421"/>
      <c r="G23" s="421"/>
      <c r="H23" s="298"/>
      <c r="I23" s="3" t="s">
        <v>1064</v>
      </c>
      <c r="J23" s="4">
        <f>'Data Entry Sheet'!G48</f>
        <v>2.11</v>
      </c>
      <c r="L23" s="8"/>
      <c r="M23"/>
      <c r="N23" s="1"/>
      <c r="O23" s="1"/>
    </row>
    <row r="24" spans="1:19" ht="15" customHeight="1">
      <c r="A24" s="551" t="s">
        <v>751</v>
      </c>
      <c r="B24" s="469" t="s">
        <v>993</v>
      </c>
      <c r="C24" s="289"/>
      <c r="D24" s="269" t="s">
        <v>1062</v>
      </c>
      <c r="E24" s="289"/>
      <c r="F24" s="289"/>
      <c r="G24" s="421"/>
      <c r="H24" s="298"/>
      <c r="I24" s="3" t="s">
        <v>93</v>
      </c>
      <c r="J24" s="4">
        <v>-0.15</v>
      </c>
      <c r="L24" s="8"/>
      <c r="M24"/>
      <c r="N24" s="1"/>
      <c r="O24" s="1"/>
    </row>
    <row r="25" spans="1:19" ht="14.25" customHeight="1">
      <c r="A25" s="133" t="s">
        <v>1081</v>
      </c>
      <c r="B25" s="133" t="s">
        <v>1080</v>
      </c>
      <c r="C25" s="289"/>
      <c r="D25" s="133" t="s">
        <v>1063</v>
      </c>
      <c r="F25" s="312">
        <f>+IF(A25="UFH",G11/344)+IF(A25="radiators",0)</f>
        <v>0</v>
      </c>
      <c r="G25" s="289" t="s">
        <v>527</v>
      </c>
      <c r="H25" s="298"/>
      <c r="I25" s="3" t="s">
        <v>107</v>
      </c>
      <c r="J25" s="4">
        <v>3.12</v>
      </c>
      <c r="L25" s="8"/>
      <c r="M25"/>
      <c r="N25" s="1"/>
      <c r="O25" s="1"/>
      <c r="R25" s="463"/>
    </row>
    <row r="26" spans="1:19" ht="14.25" customHeight="1">
      <c r="A26" s="289"/>
      <c r="B26" s="289"/>
      <c r="C26" s="289"/>
      <c r="D26" s="289"/>
      <c r="E26" s="289"/>
      <c r="F26" s="289"/>
      <c r="G26" s="421"/>
      <c r="H26" s="298"/>
      <c r="I26" s="3" t="s">
        <v>95</v>
      </c>
      <c r="J26" s="4">
        <v>2.97</v>
      </c>
      <c r="L26" s="8"/>
      <c r="M26"/>
      <c r="N26" s="1"/>
      <c r="O26" s="1"/>
    </row>
    <row r="27" spans="1:19" ht="14.25" customHeight="1">
      <c r="A27" s="268"/>
      <c r="B27" s="289"/>
      <c r="C27" s="289"/>
      <c r="D27" s="289"/>
      <c r="E27" s="289"/>
      <c r="F27" s="301"/>
      <c r="G27" s="722" t="s">
        <v>553</v>
      </c>
      <c r="H27" s="264"/>
      <c r="I27" s="3" t="s">
        <v>98</v>
      </c>
      <c r="J27" s="4">
        <v>2.78</v>
      </c>
      <c r="L27" s="8"/>
      <c r="M27"/>
      <c r="N27" s="1"/>
      <c r="O27" s="1"/>
    </row>
    <row r="28" spans="1:19" ht="14.25" customHeight="1">
      <c r="A28" s="468" t="s">
        <v>245</v>
      </c>
      <c r="B28" s="469" t="s">
        <v>126</v>
      </c>
      <c r="C28" s="289"/>
      <c r="D28" s="469" t="s">
        <v>14</v>
      </c>
      <c r="E28" s="469" t="s">
        <v>246</v>
      </c>
      <c r="F28" s="469" t="s">
        <v>15</v>
      </c>
      <c r="G28" s="723"/>
      <c r="H28" s="298"/>
      <c r="I28" s="3" t="s">
        <v>100</v>
      </c>
      <c r="J28" s="4">
        <v>2.23</v>
      </c>
      <c r="K28" s="7"/>
      <c r="L28" s="8"/>
      <c r="M28"/>
      <c r="N28" s="1"/>
      <c r="O28" s="1"/>
    </row>
    <row r="29" spans="1:19" ht="14.25" customHeight="1">
      <c r="A29" s="23">
        <v>0</v>
      </c>
      <c r="B29" s="11">
        <v>0</v>
      </c>
      <c r="C29" s="289"/>
      <c r="D29" s="11" t="s">
        <v>1160</v>
      </c>
      <c r="E29" s="312">
        <f>A29*B29*1.05*(+IF(D29="SC_type11",0.000764)+IF(D29="DC_type22",0.001421)+IF(D29="DP+type21",0.001121))*('Data Entry Sheet'!$I$28/(B8+30))*1.003</f>
        <v>0</v>
      </c>
      <c r="F29" s="428">
        <f>+IF(A25="Radiators",((E29/G11)-1),"UFH")</f>
        <v>-1</v>
      </c>
      <c r="G29" s="309">
        <f>IF(A25="Radiators",(((-1*F29)*(B8-'Data Entry Sheet'!$D$32))+'Data Entry Sheet'!$D$32),-10)</f>
        <v>18</v>
      </c>
      <c r="H29" s="303" t="s">
        <v>53</v>
      </c>
      <c r="I29" s="3" t="s">
        <v>97</v>
      </c>
      <c r="J29" s="4">
        <v>2.11</v>
      </c>
      <c r="K29" s="7"/>
      <c r="L29" s="9"/>
      <c r="M29"/>
      <c r="N29" s="1"/>
      <c r="O29" s="1"/>
    </row>
    <row r="30" spans="1:19" s="17" customFormat="1" ht="14.25" customHeight="1">
      <c r="A30" s="273"/>
      <c r="B30" s="1"/>
      <c r="C30" s="289"/>
      <c r="D30" s="289"/>
      <c r="E30" s="289"/>
      <c r="F30" s="439" t="s">
        <v>199</v>
      </c>
      <c r="G30" s="440"/>
      <c r="H30" s="298"/>
      <c r="I30" s="3" t="s">
        <v>104</v>
      </c>
      <c r="J30" s="4">
        <v>1.72</v>
      </c>
      <c r="K30" s="7"/>
      <c r="L30" s="7"/>
      <c r="M30"/>
      <c r="N30" s="1"/>
      <c r="O30" s="1"/>
      <c r="P30" s="1"/>
      <c r="Q30" s="1"/>
      <c r="R30" s="1"/>
      <c r="S30" s="1"/>
    </row>
    <row r="31" spans="1:19" ht="15">
      <c r="A31" s="273" t="s">
        <v>552</v>
      </c>
      <c r="B31" s="289"/>
      <c r="C31" s="289"/>
      <c r="D31" s="289"/>
      <c r="E31" s="289"/>
      <c r="F31" s="289"/>
      <c r="G31" s="309">
        <f>'Data Entry Sheet'!$I$29*G11</f>
        <v>2394.8406568421055</v>
      </c>
      <c r="H31" s="298" t="s">
        <v>10</v>
      </c>
      <c r="I31" s="3" t="s">
        <v>99</v>
      </c>
      <c r="J31" s="4">
        <v>1.68</v>
      </c>
      <c r="K31" s="7"/>
      <c r="L31" s="7"/>
      <c r="M31"/>
      <c r="N31" s="1"/>
      <c r="O31" s="1"/>
    </row>
    <row r="32" spans="1:19" ht="15" customHeight="1">
      <c r="A32" s="273" t="s">
        <v>551</v>
      </c>
      <c r="B32" s="289"/>
      <c r="C32" s="289"/>
      <c r="D32" s="308"/>
      <c r="E32" s="289"/>
      <c r="F32" s="289"/>
      <c r="G32" s="422"/>
      <c r="H32" s="298"/>
      <c r="I32" s="3" t="s">
        <v>96</v>
      </c>
      <c r="J32" s="4">
        <v>1.64</v>
      </c>
      <c r="L32" s="8"/>
      <c r="M32"/>
      <c r="N32" s="1"/>
      <c r="O32" s="1"/>
    </row>
    <row r="33" spans="1:20" ht="15">
      <c r="A33" s="273"/>
      <c r="B33" s="289"/>
      <c r="C33" s="289"/>
      <c r="D33" s="308"/>
      <c r="E33" s="289"/>
      <c r="F33" s="289"/>
      <c r="G33" s="422"/>
      <c r="H33" s="298"/>
      <c r="I33" s="3" t="s">
        <v>105</v>
      </c>
      <c r="J33" s="4">
        <v>1.58</v>
      </c>
      <c r="L33" s="7"/>
      <c r="M33"/>
      <c r="N33" s="1"/>
      <c r="O33" s="1"/>
    </row>
    <row r="34" spans="1:20" ht="14.25" customHeight="1">
      <c r="A34" s="468" t="s">
        <v>550</v>
      </c>
      <c r="B34" s="469" t="s">
        <v>549</v>
      </c>
      <c r="C34" s="469"/>
      <c r="D34" s="469" t="s">
        <v>14</v>
      </c>
      <c r="E34" s="469"/>
      <c r="F34" s="469"/>
      <c r="G34" s="470"/>
      <c r="H34" s="471"/>
      <c r="I34" s="3" t="s">
        <v>106</v>
      </c>
      <c r="J34" s="4">
        <v>1.02</v>
      </c>
      <c r="L34" s="7"/>
      <c r="M34"/>
      <c r="N34" s="1"/>
      <c r="O34" s="1"/>
    </row>
    <row r="35" spans="1:20" ht="15.75" customHeight="1">
      <c r="A35" s="315">
        <f>A29</f>
        <v>0</v>
      </c>
      <c r="B35" s="316" t="e">
        <f>G11/(A29*0.001421)*(30/('Data Entry Sheet'!I28-B8))</f>
        <v>#DIV/0!</v>
      </c>
      <c r="C35" s="289"/>
      <c r="D35" s="316" t="s">
        <v>548</v>
      </c>
      <c r="E35" s="289"/>
      <c r="F35" s="289"/>
      <c r="G35" s="470"/>
      <c r="H35" s="471"/>
      <c r="I35" s="3" t="s">
        <v>102</v>
      </c>
      <c r="J35" s="4">
        <v>0.77</v>
      </c>
      <c r="L35" s="7"/>
      <c r="M35"/>
      <c r="N35" s="1"/>
      <c r="O35" s="1"/>
      <c r="T35" s="20"/>
    </row>
    <row r="36" spans="1:20" ht="14.25" customHeight="1" thickBot="1">
      <c r="A36" s="472"/>
      <c r="B36" s="306"/>
      <c r="C36" s="306"/>
      <c r="D36" s="306"/>
      <c r="E36" s="306"/>
      <c r="F36" s="306"/>
      <c r="G36" s="423"/>
      <c r="H36" s="304"/>
      <c r="I36" s="3" t="s">
        <v>103</v>
      </c>
      <c r="J36" s="4">
        <v>0.59</v>
      </c>
      <c r="L36" s="7"/>
      <c r="M36"/>
      <c r="N36" s="1"/>
      <c r="O36" s="1"/>
      <c r="T36" s="21"/>
    </row>
    <row r="37" spans="1:20" ht="14.25" customHeight="1" thickBot="1">
      <c r="I37" s="3" t="s">
        <v>101</v>
      </c>
      <c r="J37" s="4">
        <v>0.56000000000000005</v>
      </c>
      <c r="L37" s="7"/>
      <c r="M37"/>
      <c r="N37" s="1"/>
      <c r="O37" s="1"/>
      <c r="T37" s="21"/>
    </row>
    <row r="38" spans="1:20" ht="14.25" customHeight="1">
      <c r="A38" s="719" t="s">
        <v>70</v>
      </c>
      <c r="B38" s="292"/>
      <c r="C38" s="293"/>
      <c r="D38" s="293"/>
      <c r="E38" s="293"/>
      <c r="F38" s="294"/>
      <c r="G38" s="419"/>
      <c r="H38" s="295"/>
      <c r="I38" s="3" t="s">
        <v>274</v>
      </c>
      <c r="J38" s="4">
        <v>0.44</v>
      </c>
      <c r="K38" s="8"/>
      <c r="L38" s="8"/>
      <c r="M38"/>
      <c r="N38" s="1"/>
      <c r="T38" s="21"/>
    </row>
    <row r="39" spans="1:20" ht="14.25" customHeight="1">
      <c r="A39" s="720"/>
      <c r="B39" s="13" t="s">
        <v>1173</v>
      </c>
      <c r="C39" s="269"/>
      <c r="D39" s="299"/>
      <c r="E39" s="269"/>
      <c r="F39" s="269"/>
      <c r="G39" s="516"/>
      <c r="H39" s="264"/>
      <c r="I39" s="3" t="s">
        <v>241</v>
      </c>
      <c r="J39" s="4">
        <v>0.42</v>
      </c>
      <c r="K39" s="8"/>
      <c r="L39" s="8"/>
      <c r="M39"/>
      <c r="N39" s="1"/>
      <c r="O39" s="1"/>
      <c r="T39" s="21"/>
    </row>
    <row r="40" spans="1:20" ht="14.25" customHeight="1">
      <c r="A40" s="273" t="s">
        <v>568</v>
      </c>
      <c r="B40" s="14">
        <v>18</v>
      </c>
      <c r="C40" s="397"/>
      <c r="D40" s="516" t="s">
        <v>567</v>
      </c>
      <c r="E40" s="516" t="s">
        <v>9</v>
      </c>
      <c r="F40" s="296"/>
      <c r="G40" s="297" t="s">
        <v>566</v>
      </c>
      <c r="H40" s="298"/>
      <c r="I40" s="3" t="s">
        <v>242</v>
      </c>
      <c r="J40" s="4">
        <v>0.36</v>
      </c>
      <c r="K40" s="8"/>
      <c r="L40" s="8"/>
      <c r="M40"/>
      <c r="N40" s="1"/>
      <c r="O40" s="1"/>
      <c r="T40" s="21"/>
    </row>
    <row r="41" spans="1:20" ht="15">
      <c r="A41" s="273" t="s">
        <v>565</v>
      </c>
      <c r="B41" s="14">
        <v>2.4</v>
      </c>
      <c r="C41" s="397"/>
      <c r="D41" s="269"/>
      <c r="E41" s="516"/>
      <c r="F41" s="296"/>
      <c r="G41" s="516"/>
      <c r="H41" s="298"/>
      <c r="I41" s="3" t="s">
        <v>39</v>
      </c>
      <c r="J41" s="4">
        <v>0.35</v>
      </c>
      <c r="K41" s="8"/>
      <c r="L41" s="8"/>
      <c r="M41"/>
      <c r="N41" s="1"/>
      <c r="O41" s="1"/>
      <c r="T41" s="21"/>
    </row>
    <row r="42" spans="1:20" ht="14.25" customHeight="1">
      <c r="A42" s="273" t="s">
        <v>564</v>
      </c>
      <c r="B42" s="15">
        <v>4.2</v>
      </c>
      <c r="C42" s="397"/>
      <c r="D42" s="269"/>
      <c r="E42" s="269"/>
      <c r="F42" s="296"/>
      <c r="G42" s="516"/>
      <c r="H42" s="298"/>
      <c r="I42" s="3" t="s">
        <v>94</v>
      </c>
      <c r="J42" s="4">
        <v>0.35</v>
      </c>
      <c r="L42" s="7"/>
      <c r="M42"/>
      <c r="N42" s="1"/>
      <c r="O42" s="1"/>
      <c r="T42" s="21"/>
    </row>
    <row r="43" spans="1:20" ht="14.25" customHeight="1">
      <c r="A43" s="272" t="s">
        <v>563</v>
      </c>
      <c r="B43" s="604" t="s">
        <v>241</v>
      </c>
      <c r="C43" s="269"/>
      <c r="D43" s="464">
        <f>VLOOKUP(B43,$I$23:$J$49,2,FALSE)</f>
        <v>0.42</v>
      </c>
      <c r="E43" s="311">
        <f>(((B41)*B42)-B44)*(D43+0.15)*(B40-'Data Entry Sheet'!$D$32)</f>
        <v>111.35520000000001</v>
      </c>
      <c r="F43" s="299" t="s">
        <v>10</v>
      </c>
      <c r="G43" s="309">
        <f>SUM(E43:E52)*((B41+81)/83.6)</f>
        <v>381.68229473684215</v>
      </c>
      <c r="H43" s="264"/>
      <c r="I43" s="3" t="s">
        <v>74</v>
      </c>
      <c r="J43" s="4">
        <v>0.25</v>
      </c>
      <c r="L43" s="7"/>
      <c r="M43"/>
      <c r="N43" s="1"/>
      <c r="O43" s="1"/>
      <c r="T43" s="21"/>
    </row>
    <row r="44" spans="1:20" ht="14.25" customHeight="1" thickBot="1">
      <c r="A44" s="290" t="s">
        <v>562</v>
      </c>
      <c r="B44" s="15">
        <v>1.2</v>
      </c>
      <c r="C44" s="269"/>
      <c r="D44" s="397"/>
      <c r="E44" s="289"/>
      <c r="F44" s="299"/>
      <c r="G44" s="297" t="s">
        <v>243</v>
      </c>
      <c r="H44" s="298"/>
      <c r="I44" s="3" t="s">
        <v>275</v>
      </c>
      <c r="J44" s="4">
        <v>0.22</v>
      </c>
      <c r="L44" s="7"/>
      <c r="M44"/>
      <c r="N44" s="1"/>
      <c r="O44" s="1"/>
      <c r="T44" s="21"/>
    </row>
    <row r="45" spans="1:20" ht="14.25" customHeight="1" thickBot="1">
      <c r="A45" s="290" t="s">
        <v>561</v>
      </c>
      <c r="B45" s="604" t="s">
        <v>1064</v>
      </c>
      <c r="C45" s="269"/>
      <c r="D45" s="464">
        <f>VLOOKUP(B45,$I$4:$J$16,2,FALSE)</f>
        <v>2.8</v>
      </c>
      <c r="E45" s="311">
        <f>B44*(D45+0.15)*(B40-'Data Entry Sheet'!$D$32)</f>
        <v>77.88</v>
      </c>
      <c r="F45" s="299" t="s">
        <v>10</v>
      </c>
      <c r="G45" s="420">
        <f>G43/B49</f>
        <v>88.763324357405153</v>
      </c>
      <c r="H45" s="264"/>
      <c r="I45" s="3" t="s">
        <v>32</v>
      </c>
      <c r="J45" s="4">
        <v>0.2</v>
      </c>
      <c r="L45" s="7"/>
      <c r="M45"/>
      <c r="N45" s="1"/>
      <c r="O45" s="1"/>
      <c r="T45" s="21"/>
    </row>
    <row r="46" spans="1:20" ht="14.25" customHeight="1">
      <c r="A46" s="290" t="s">
        <v>560</v>
      </c>
      <c r="B46" s="604">
        <v>0</v>
      </c>
      <c r="C46" s="397"/>
      <c r="D46" s="516"/>
      <c r="E46" s="305"/>
      <c r="F46" s="299"/>
      <c r="G46" s="470" t="s">
        <v>127</v>
      </c>
      <c r="H46" s="298"/>
      <c r="I46" s="3" t="s">
        <v>31</v>
      </c>
      <c r="J46" s="4">
        <v>0.15</v>
      </c>
      <c r="L46" s="7"/>
      <c r="M46"/>
      <c r="N46" s="1"/>
      <c r="T46" s="21"/>
    </row>
    <row r="47" spans="1:20" ht="14.25" customHeight="1">
      <c r="A47" s="290" t="s">
        <v>559</v>
      </c>
      <c r="B47" s="604">
        <v>0</v>
      </c>
      <c r="C47" s="397"/>
      <c r="D47" s="516"/>
      <c r="E47" s="305"/>
      <c r="F47" s="299"/>
      <c r="G47" s="309">
        <f>+IF(A57="UFH",(G43*0.71/85),((+IF(D61="dp+type21",14.5)+IF(D61="SC_type11",7.3)+IF(D61="SC",7)+IF(D61="DC_type22",14.5))*(A61*B61))/1000000)</f>
        <v>2.19</v>
      </c>
      <c r="H47" s="298" t="s">
        <v>244</v>
      </c>
      <c r="I47" s="3" t="s">
        <v>276</v>
      </c>
      <c r="J47" s="4">
        <v>0.11</v>
      </c>
      <c r="L47" s="7"/>
      <c r="M47"/>
      <c r="N47" s="1"/>
      <c r="O47" s="1"/>
      <c r="T47" s="21"/>
    </row>
    <row r="48" spans="1:20" ht="14.25" customHeight="1">
      <c r="A48" s="290" t="s">
        <v>558</v>
      </c>
      <c r="B48" s="604" t="s">
        <v>1064</v>
      </c>
      <c r="C48" s="269"/>
      <c r="D48" s="464">
        <f>VLOOKUP(B48,$I$81:$J$100,2,FALSE)</f>
        <v>0.2</v>
      </c>
      <c r="E48" s="311">
        <f>((B46-B47)*(D48+0.15)*(B40-'Data Entry Sheet'!D64))+(B47*(B40-'Data Entry Sheet'!$D$32)*2.8)</f>
        <v>0</v>
      </c>
      <c r="F48" s="299" t="s">
        <v>10</v>
      </c>
      <c r="G48" s="516"/>
      <c r="H48" s="298"/>
      <c r="I48" s="3" t="s">
        <v>277</v>
      </c>
      <c r="J48" s="4">
        <v>7.2999999999999995E-2</v>
      </c>
      <c r="L48" s="7"/>
      <c r="M48"/>
      <c r="N48" s="1"/>
      <c r="O48" s="1"/>
      <c r="T48" s="21"/>
    </row>
    <row r="49" spans="1:20" ht="14.25" customHeight="1">
      <c r="A49" s="290" t="s">
        <v>557</v>
      </c>
      <c r="B49" s="604">
        <v>4.3</v>
      </c>
      <c r="C49" s="397"/>
      <c r="D49" s="305"/>
      <c r="E49" s="305"/>
      <c r="F49" s="300"/>
      <c r="G49" s="516"/>
      <c r="H49" s="298"/>
      <c r="I49" s="3" t="s">
        <v>20</v>
      </c>
      <c r="J49" s="4"/>
      <c r="L49" s="7"/>
      <c r="M49"/>
      <c r="N49" s="1"/>
      <c r="O49" s="1"/>
      <c r="T49" s="21"/>
    </row>
    <row r="50" spans="1:20" ht="15" customHeight="1">
      <c r="A50" s="290" t="s">
        <v>556</v>
      </c>
      <c r="B50" s="604" t="s">
        <v>1064</v>
      </c>
      <c r="C50" s="269"/>
      <c r="D50" s="464">
        <f>VLOOKUP(B50,$I$54:$J$75,2,FALSE)</f>
        <v>1</v>
      </c>
      <c r="E50" s="311">
        <f>B49*(D50+0.15)*(B40-( IF(B50="suspended wood ",'Data Entry Sheet'!$D$32,'Data Entry Sheet'!$D$33)))</f>
        <v>43.515999999999991</v>
      </c>
      <c r="F50" s="299" t="s">
        <v>10</v>
      </c>
      <c r="G50" s="516"/>
      <c r="H50" s="298"/>
      <c r="I50" s="3"/>
      <c r="J50" s="4"/>
      <c r="L50" s="7"/>
      <c r="M50"/>
      <c r="N50" s="1"/>
      <c r="O50" s="1"/>
      <c r="T50" s="21"/>
    </row>
    <row r="51" spans="1:20" ht="15">
      <c r="A51" s="290"/>
      <c r="B51" s="289"/>
      <c r="C51" s="516"/>
      <c r="D51" s="307"/>
      <c r="E51" s="307"/>
      <c r="F51" s="299"/>
      <c r="G51" s="516"/>
      <c r="H51" s="298"/>
      <c r="I51" s="3"/>
      <c r="J51" s="4"/>
      <c r="L51" s="7"/>
      <c r="M51"/>
      <c r="T51" s="21"/>
    </row>
    <row r="52" spans="1:20" ht="14.25" customHeight="1">
      <c r="A52" s="291" t="s">
        <v>555</v>
      </c>
      <c r="B52" s="604" t="s">
        <v>66</v>
      </c>
      <c r="C52" s="269"/>
      <c r="D52" s="464">
        <f>VLOOKUP(B52,$I$113:J155,2,FALSE)</f>
        <v>2</v>
      </c>
      <c r="E52" s="311">
        <f>(B40-'Data Entry Sheet'!$D$32)*0.33*(B49*B41)*D52</f>
        <v>149.84639999999999</v>
      </c>
      <c r="F52" s="299" t="s">
        <v>10</v>
      </c>
      <c r="G52" s="516"/>
      <c r="H52" s="298"/>
      <c r="I52" s="3"/>
      <c r="J52" s="4"/>
      <c r="L52" s="7"/>
      <c r="M52"/>
      <c r="N52" s="1"/>
      <c r="O52" s="1"/>
      <c r="T52" s="21"/>
    </row>
    <row r="53" spans="1:20" ht="14.25" customHeight="1">
      <c r="A53" s="268"/>
      <c r="B53" s="289"/>
      <c r="C53" s="289"/>
      <c r="D53" s="289"/>
      <c r="E53" s="289"/>
      <c r="F53" s="301"/>
      <c r="G53" s="421"/>
      <c r="H53" s="264"/>
      <c r="I53" s="3" t="s">
        <v>16</v>
      </c>
      <c r="J53" s="4"/>
      <c r="L53" s="7"/>
      <c r="M53"/>
      <c r="N53" s="1"/>
      <c r="O53" s="1"/>
      <c r="T53" s="21"/>
    </row>
    <row r="54" spans="1:20" ht="14.25" customHeight="1">
      <c r="A54" s="721" t="s">
        <v>554</v>
      </c>
      <c r="B54" s="289"/>
      <c r="C54" s="289"/>
      <c r="D54" s="289"/>
      <c r="E54" s="289"/>
      <c r="F54" s="289"/>
      <c r="G54" s="299"/>
      <c r="H54" s="302"/>
      <c r="I54" s="3" t="s">
        <v>1064</v>
      </c>
      <c r="J54" s="4">
        <f>'Data Entry Sheet'!G51</f>
        <v>1</v>
      </c>
      <c r="L54" s="7"/>
      <c r="M54"/>
      <c r="N54" s="1"/>
      <c r="O54" s="1"/>
      <c r="T54" s="21"/>
    </row>
    <row r="55" spans="1:20" ht="14.25" customHeight="1">
      <c r="A55" s="721"/>
      <c r="C55" s="289"/>
      <c r="D55" s="289"/>
      <c r="E55" s="421"/>
      <c r="F55" s="421"/>
      <c r="G55" s="421"/>
      <c r="H55" s="298"/>
      <c r="I55" s="3" t="s">
        <v>93</v>
      </c>
      <c r="J55" s="4">
        <v>-0.15</v>
      </c>
      <c r="L55" s="7"/>
      <c r="M55"/>
      <c r="N55" s="1"/>
      <c r="O55" s="1"/>
      <c r="T55" s="21"/>
    </row>
    <row r="56" spans="1:20" ht="14.25" customHeight="1">
      <c r="A56" s="551" t="s">
        <v>751</v>
      </c>
      <c r="B56" s="469" t="s">
        <v>993</v>
      </c>
      <c r="C56" s="289"/>
      <c r="D56" s="269" t="s">
        <v>1062</v>
      </c>
      <c r="E56" s="289"/>
      <c r="F56" s="289"/>
      <c r="G56" s="421"/>
      <c r="H56" s="298"/>
      <c r="I56" s="3" t="s">
        <v>115</v>
      </c>
      <c r="J56" s="4">
        <v>1.82</v>
      </c>
      <c r="L56" s="7"/>
      <c r="M56"/>
      <c r="N56" s="1"/>
      <c r="O56" s="1"/>
      <c r="T56" s="21"/>
    </row>
    <row r="57" spans="1:20" ht="14.25" customHeight="1">
      <c r="A57" s="133" t="s">
        <v>1081</v>
      </c>
      <c r="B57" s="133" t="s">
        <v>1080</v>
      </c>
      <c r="C57" s="289"/>
      <c r="D57" s="133" t="s">
        <v>1063</v>
      </c>
      <c r="F57" s="312">
        <f>+IF(A57="UFH",G43/344)+IF(A57="radiators",0)</f>
        <v>0</v>
      </c>
      <c r="G57" s="289" t="s">
        <v>527</v>
      </c>
      <c r="H57" s="298"/>
      <c r="I57" s="3" t="s">
        <v>114</v>
      </c>
      <c r="J57" s="4">
        <v>1.75</v>
      </c>
      <c r="L57" s="7"/>
      <c r="M57"/>
      <c r="N57" s="1"/>
      <c r="O57" s="1"/>
      <c r="T57" s="21"/>
    </row>
    <row r="58" spans="1:20" ht="14.25" customHeight="1">
      <c r="C58" s="289"/>
      <c r="D58" s="289"/>
      <c r="E58" s="289"/>
      <c r="F58" s="289"/>
      <c r="G58" s="421"/>
      <c r="H58" s="298"/>
      <c r="I58" s="3" t="s">
        <v>111</v>
      </c>
      <c r="J58" s="4">
        <v>1.1000000000000001</v>
      </c>
      <c r="L58" s="7"/>
      <c r="M58"/>
      <c r="N58" s="1"/>
      <c r="O58" s="1"/>
      <c r="T58" s="21"/>
    </row>
    <row r="59" spans="1:20" ht="15" customHeight="1">
      <c r="A59" s="268"/>
      <c r="B59" s="289"/>
      <c r="C59" s="289"/>
      <c r="D59" s="289"/>
      <c r="E59" s="289"/>
      <c r="F59" s="301"/>
      <c r="G59" s="421"/>
      <c r="H59" s="264"/>
      <c r="I59" s="3" t="s">
        <v>108</v>
      </c>
      <c r="J59" s="4">
        <v>1</v>
      </c>
      <c r="L59" s="7"/>
      <c r="M59"/>
      <c r="N59" s="1"/>
      <c r="O59" s="1"/>
      <c r="R59" s="21"/>
    </row>
    <row r="60" spans="1:20" ht="25.5">
      <c r="A60" s="468" t="s">
        <v>245</v>
      </c>
      <c r="B60" s="469" t="s">
        <v>126</v>
      </c>
      <c r="C60" s="289"/>
      <c r="D60" s="469" t="s">
        <v>14</v>
      </c>
      <c r="E60" s="469" t="s">
        <v>246</v>
      </c>
      <c r="F60" s="469" t="s">
        <v>15</v>
      </c>
      <c r="G60" s="470" t="s">
        <v>553</v>
      </c>
      <c r="H60" s="298"/>
      <c r="I60" s="3" t="s">
        <v>112</v>
      </c>
      <c r="J60" s="4">
        <v>0.45</v>
      </c>
      <c r="L60" s="7"/>
      <c r="M60"/>
      <c r="N60" s="1"/>
      <c r="R60" s="21"/>
    </row>
    <row r="61" spans="1:20" ht="15.75" customHeight="1">
      <c r="A61" s="23">
        <v>500</v>
      </c>
      <c r="B61" s="11">
        <v>600</v>
      </c>
      <c r="C61" s="289"/>
      <c r="D61" s="11" t="s">
        <v>832</v>
      </c>
      <c r="E61" s="312">
        <f>A61*B61*1.05*(+IF(D61="SC_type11",0.000764)+IF(D61="DC_type22",0.001421)+IF(D61="DP+type21",0.001121))*('Data Entry Sheet'!$I$28/(B40+30))</f>
        <v>250.68750000000003</v>
      </c>
      <c r="F61" s="428">
        <f>+IF(A57="Radiators",((E61/G43)-1),"UFH")</f>
        <v>-0.34320374967133038</v>
      </c>
      <c r="G61" s="309">
        <f>IF(A57="Radiators",(((-1*F61)*(B40-'Data Entry Sheet'!$D$32))+'Data Entry Sheet'!$D$32),-10)</f>
        <v>3.5504824927692686</v>
      </c>
      <c r="H61" s="303" t="s">
        <v>53</v>
      </c>
      <c r="I61" s="3" t="s">
        <v>274</v>
      </c>
      <c r="J61" s="4">
        <v>0.44</v>
      </c>
      <c r="L61" s="7"/>
      <c r="M61"/>
      <c r="N61" s="1"/>
      <c r="O61" s="1"/>
      <c r="R61" s="21"/>
    </row>
    <row r="62" spans="1:20" ht="14.25" customHeight="1">
      <c r="A62" s="273"/>
      <c r="C62" s="289"/>
      <c r="D62" s="289"/>
      <c r="E62" s="289"/>
      <c r="F62" s="439" t="s">
        <v>199</v>
      </c>
      <c r="G62" s="440"/>
      <c r="H62" s="298"/>
      <c r="I62" s="3" t="s">
        <v>110</v>
      </c>
      <c r="J62" s="4">
        <v>0.41</v>
      </c>
      <c r="L62" s="7"/>
      <c r="M62"/>
      <c r="N62" s="1"/>
      <c r="O62" s="1"/>
      <c r="T62" s="21"/>
    </row>
    <row r="63" spans="1:20" ht="12.75" customHeight="1">
      <c r="A63" s="273" t="s">
        <v>552</v>
      </c>
      <c r="B63" s="289"/>
      <c r="C63" s="289"/>
      <c r="D63" s="289"/>
      <c r="E63" s="289"/>
      <c r="F63" s="289"/>
      <c r="G63" s="309">
        <f>'Data Entry Sheet'!$I$29*G43</f>
        <v>916.03750736842119</v>
      </c>
      <c r="H63" s="298" t="s">
        <v>10</v>
      </c>
      <c r="I63" s="3" t="s">
        <v>573</v>
      </c>
      <c r="J63" s="4">
        <v>0.33</v>
      </c>
      <c r="L63" s="7"/>
      <c r="M63"/>
      <c r="N63" s="1"/>
      <c r="T63" s="21"/>
    </row>
    <row r="64" spans="1:20" s="17" customFormat="1" ht="15">
      <c r="A64" s="273" t="s">
        <v>551</v>
      </c>
      <c r="B64" s="289"/>
      <c r="C64" s="289"/>
      <c r="D64" s="308"/>
      <c r="E64" s="289"/>
      <c r="F64" s="289"/>
      <c r="G64" s="422"/>
      <c r="H64" s="298"/>
      <c r="I64" s="3" t="s">
        <v>109</v>
      </c>
      <c r="J64" s="4">
        <v>0.26</v>
      </c>
      <c r="K64" s="1"/>
      <c r="L64" s="7"/>
      <c r="M64"/>
      <c r="N64" s="1"/>
      <c r="O64" s="1"/>
      <c r="P64" s="1"/>
      <c r="Q64" s="1"/>
      <c r="R64" s="1"/>
      <c r="S64" s="1"/>
      <c r="T64" s="21"/>
    </row>
    <row r="65" spans="1:20" ht="12" customHeight="1">
      <c r="A65" s="273"/>
      <c r="B65" s="289"/>
      <c r="C65" s="289"/>
      <c r="D65" s="308"/>
      <c r="E65" s="289"/>
      <c r="F65" s="289"/>
      <c r="G65" s="422"/>
      <c r="H65" s="298"/>
      <c r="I65" t="s">
        <v>113</v>
      </c>
      <c r="J65">
        <v>0.26</v>
      </c>
      <c r="K65"/>
      <c r="L65"/>
      <c r="M65"/>
      <c r="N65" s="1"/>
      <c r="O65" s="1"/>
      <c r="T65" s="21"/>
    </row>
    <row r="66" spans="1:20" ht="14.25" customHeight="1">
      <c r="A66" s="468" t="s">
        <v>550</v>
      </c>
      <c r="B66" s="469" t="s">
        <v>549</v>
      </c>
      <c r="C66" s="469"/>
      <c r="D66" s="469" t="s">
        <v>14</v>
      </c>
      <c r="E66" s="469"/>
      <c r="F66" s="469"/>
      <c r="G66" s="470"/>
      <c r="H66" s="471"/>
      <c r="I66" t="s">
        <v>33</v>
      </c>
      <c r="J66">
        <v>0.25</v>
      </c>
      <c r="K66"/>
      <c r="L66"/>
      <c r="M66"/>
      <c r="N66" s="1"/>
      <c r="O66" s="1"/>
      <c r="T66" s="21"/>
    </row>
    <row r="67" spans="1:20" ht="15">
      <c r="A67" s="315">
        <f>A61</f>
        <v>500</v>
      </c>
      <c r="B67" s="316">
        <f>G43/(A61*0.001421)*(30/('Data Entry Sheet'!$I$28-B40))</f>
        <v>503.62723619393313</v>
      </c>
      <c r="C67" s="289"/>
      <c r="D67" s="316" t="s">
        <v>548</v>
      </c>
      <c r="E67" s="289"/>
      <c r="F67" s="289"/>
      <c r="G67" s="470"/>
      <c r="H67" s="471"/>
      <c r="I67" t="s">
        <v>27</v>
      </c>
      <c r="J67">
        <v>0.25</v>
      </c>
      <c r="K67"/>
      <c r="L67"/>
      <c r="M67"/>
      <c r="N67" s="1"/>
      <c r="O67" s="1"/>
      <c r="T67" s="21"/>
    </row>
    <row r="68" spans="1:20" ht="15.75" thickBot="1">
      <c r="A68" s="472"/>
      <c r="B68" s="306"/>
      <c r="C68" s="306"/>
      <c r="D68" s="306"/>
      <c r="E68" s="306"/>
      <c r="F68" s="306"/>
      <c r="G68" s="423"/>
      <c r="H68" s="304"/>
      <c r="I68" t="s">
        <v>34</v>
      </c>
      <c r="J68">
        <v>0.25</v>
      </c>
      <c r="K68"/>
      <c r="L68"/>
      <c r="M68"/>
      <c r="N68" s="1"/>
      <c r="O68" s="1"/>
      <c r="T68" s="21"/>
    </row>
    <row r="69" spans="1:20" ht="14.25" customHeight="1" thickBot="1">
      <c r="I69" t="s">
        <v>74</v>
      </c>
      <c r="J69">
        <v>0.22</v>
      </c>
      <c r="K69"/>
      <c r="L69"/>
      <c r="M69"/>
      <c r="N69" s="1"/>
      <c r="O69" s="1"/>
      <c r="T69" s="21"/>
    </row>
    <row r="70" spans="1:20" ht="14.25" customHeight="1">
      <c r="A70" s="719" t="s">
        <v>70</v>
      </c>
      <c r="B70" s="292"/>
      <c r="C70" s="293"/>
      <c r="D70" s="293"/>
      <c r="E70" s="293"/>
      <c r="F70" s="294"/>
      <c r="G70" s="419"/>
      <c r="H70" s="295"/>
      <c r="I70" t="s">
        <v>275</v>
      </c>
      <c r="J70">
        <v>0.22</v>
      </c>
      <c r="K70"/>
      <c r="L70"/>
      <c r="M70"/>
      <c r="N70" s="1"/>
      <c r="O70" s="1"/>
      <c r="T70" s="21"/>
    </row>
    <row r="71" spans="1:20" ht="14.25" customHeight="1">
      <c r="A71" s="720"/>
      <c r="B71" s="13" t="s">
        <v>1175</v>
      </c>
      <c r="C71" s="269"/>
      <c r="D71" s="299"/>
      <c r="E71" s="269"/>
      <c r="F71" s="269"/>
      <c r="G71" s="516"/>
      <c r="H71" s="264"/>
      <c r="I71" t="s">
        <v>32</v>
      </c>
      <c r="J71">
        <v>0.2</v>
      </c>
      <c r="K71"/>
      <c r="L71"/>
      <c r="M71"/>
      <c r="N71" s="1"/>
      <c r="O71" s="1"/>
      <c r="T71" s="21"/>
    </row>
    <row r="72" spans="1:20" ht="14.25" customHeight="1">
      <c r="A72" s="273" t="s">
        <v>568</v>
      </c>
      <c r="B72" s="14">
        <v>21</v>
      </c>
      <c r="C72" s="397"/>
      <c r="D72" s="516" t="s">
        <v>567</v>
      </c>
      <c r="E72" s="516" t="s">
        <v>9</v>
      </c>
      <c r="F72" s="296"/>
      <c r="G72" s="297" t="s">
        <v>566</v>
      </c>
      <c r="H72" s="298"/>
      <c r="I72" t="s">
        <v>31</v>
      </c>
      <c r="J72">
        <v>0.15</v>
      </c>
      <c r="K72"/>
      <c r="L72"/>
      <c r="M72"/>
      <c r="N72" s="1"/>
      <c r="T72" s="21"/>
    </row>
    <row r="73" spans="1:20" ht="15">
      <c r="A73" s="273" t="s">
        <v>565</v>
      </c>
      <c r="B73" s="14">
        <v>2.4</v>
      </c>
      <c r="C73" s="397"/>
      <c r="D73" s="269"/>
      <c r="E73" s="516"/>
      <c r="F73" s="296"/>
      <c r="G73" s="516"/>
      <c r="H73" s="298"/>
      <c r="I73" t="s">
        <v>276</v>
      </c>
      <c r="J73">
        <v>0.11</v>
      </c>
      <c r="K73"/>
      <c r="L73"/>
      <c r="M73"/>
      <c r="N73" s="1"/>
      <c r="O73" s="1"/>
      <c r="T73" s="21"/>
    </row>
    <row r="74" spans="1:20" ht="15">
      <c r="A74" s="273" t="s">
        <v>564</v>
      </c>
      <c r="B74" s="15">
        <v>4.3</v>
      </c>
      <c r="C74" s="397"/>
      <c r="D74" s="269"/>
      <c r="E74" s="269"/>
      <c r="F74" s="296"/>
      <c r="G74" s="516"/>
      <c r="H74" s="298"/>
      <c r="I74" t="s">
        <v>277</v>
      </c>
      <c r="J74">
        <v>7.2999999999999995E-2</v>
      </c>
      <c r="K74"/>
      <c r="L74"/>
      <c r="M74"/>
      <c r="N74" s="1"/>
      <c r="O74" s="1"/>
      <c r="T74" s="21"/>
    </row>
    <row r="75" spans="1:20" ht="14.25" customHeight="1">
      <c r="A75" s="272" t="s">
        <v>563</v>
      </c>
      <c r="B75" s="604" t="s">
        <v>1064</v>
      </c>
      <c r="C75" s="269"/>
      <c r="D75" s="464">
        <f>VLOOKUP(B75,$I$23:$J$49,2,FALSE)</f>
        <v>2.11</v>
      </c>
      <c r="E75" s="311">
        <f>(((B73)*B74)-B76)*(D75+0.15)*(B72-'Data Entry Sheet'!$D$32)</f>
        <v>503.97999999999985</v>
      </c>
      <c r="F75" s="299" t="s">
        <v>10</v>
      </c>
      <c r="G75" s="309">
        <f>SUM(E75:E84)*((B73+81)/83.6)</f>
        <v>1123.7750956937798</v>
      </c>
      <c r="H75" s="264"/>
      <c r="I75" t="s">
        <v>20</v>
      </c>
      <c r="J75"/>
      <c r="K75"/>
      <c r="L75"/>
      <c r="M75"/>
      <c r="N75" s="1"/>
      <c r="O75" s="1"/>
      <c r="T75" s="21"/>
    </row>
    <row r="76" spans="1:20" ht="14.25" customHeight="1" thickBot="1">
      <c r="A76" s="290" t="s">
        <v>562</v>
      </c>
      <c r="B76" s="15">
        <v>1.4</v>
      </c>
      <c r="C76" s="269"/>
      <c r="D76" s="397"/>
      <c r="E76" s="289"/>
      <c r="F76" s="299"/>
      <c r="G76" s="297" t="s">
        <v>243</v>
      </c>
      <c r="H76" s="298"/>
      <c r="I76"/>
      <c r="J76"/>
      <c r="K76"/>
      <c r="L76"/>
      <c r="M76"/>
      <c r="N76" s="1"/>
      <c r="O76" s="1"/>
      <c r="T76" s="21"/>
    </row>
    <row r="77" spans="1:20" ht="14.25" customHeight="1" thickBot="1">
      <c r="A77" s="290" t="s">
        <v>561</v>
      </c>
      <c r="B77" s="604" t="s">
        <v>1064</v>
      </c>
      <c r="C77" s="269"/>
      <c r="D77" s="464">
        <f>VLOOKUP(B77,$I$4:$J$16,2,FALSE)</f>
        <v>2.8</v>
      </c>
      <c r="E77" s="311">
        <f>B76*(D77+0.15)*(B72-'Data Entry Sheet'!$D$32)</f>
        <v>103.24999999999997</v>
      </c>
      <c r="F77" s="299" t="s">
        <v>10</v>
      </c>
      <c r="G77" s="420">
        <f>G75/B81</f>
        <v>93.647924641148322</v>
      </c>
      <c r="H77" s="264"/>
      <c r="I77" t="s">
        <v>124</v>
      </c>
      <c r="J77"/>
      <c r="K77"/>
      <c r="L77"/>
      <c r="M77"/>
      <c r="N77" s="1"/>
      <c r="O77" s="1"/>
      <c r="T77" s="21"/>
    </row>
    <row r="78" spans="1:20" ht="14.25" customHeight="1">
      <c r="A78" s="290" t="s">
        <v>560</v>
      </c>
      <c r="B78" s="604">
        <v>0</v>
      </c>
      <c r="C78" s="397"/>
      <c r="D78" s="516"/>
      <c r="E78" s="305"/>
      <c r="F78" s="299"/>
      <c r="G78" s="470" t="s">
        <v>127</v>
      </c>
      <c r="H78" s="298"/>
      <c r="I78" t="s">
        <v>125</v>
      </c>
      <c r="J78"/>
      <c r="K78"/>
      <c r="L78"/>
      <c r="M78"/>
      <c r="N78" s="1"/>
      <c r="O78" s="1"/>
      <c r="T78" s="21"/>
    </row>
    <row r="79" spans="1:20" ht="14.25" customHeight="1">
      <c r="A79" s="290" t="s">
        <v>559</v>
      </c>
      <c r="B79" s="604">
        <v>0</v>
      </c>
      <c r="C79" s="397"/>
      <c r="D79" s="516"/>
      <c r="E79" s="305"/>
      <c r="F79" s="299"/>
      <c r="G79" s="309">
        <f>+IF(A89="UFH",(G75*0.71/85),((+IF(D93="dp+type21",14.5)+IF(D93="SC_type11",7.3)+IF(D93="SC",7)+IF(D93="DC_type22",14.5))*(A93*B93))/1000000)</f>
        <v>7.83</v>
      </c>
      <c r="H79" s="298" t="s">
        <v>244</v>
      </c>
      <c r="I79"/>
      <c r="J79"/>
      <c r="K79"/>
      <c r="L79"/>
      <c r="M79"/>
      <c r="N79" s="1"/>
      <c r="O79" s="1"/>
      <c r="T79" s="21"/>
    </row>
    <row r="80" spans="1:20" ht="15">
      <c r="A80" s="290" t="s">
        <v>558</v>
      </c>
      <c r="B80" s="604" t="s">
        <v>1064</v>
      </c>
      <c r="C80" s="269"/>
      <c r="D80" s="464">
        <f>VLOOKUP(B80,$I$81:$J$100,2,FALSE)</f>
        <v>0.2</v>
      </c>
      <c r="E80" s="311">
        <f>((B78-B79)*(D80+0.15)*(B72-'Data Entry Sheet'!D96))+(B79*(B72-'Data Entry Sheet'!$D$32)*2.8)</f>
        <v>0</v>
      </c>
      <c r="F80" s="299" t="s">
        <v>10</v>
      </c>
      <c r="G80" s="516"/>
      <c r="H80" s="298"/>
      <c r="I80" t="s">
        <v>7</v>
      </c>
      <c r="J80"/>
      <c r="K80"/>
      <c r="L80"/>
      <c r="M80"/>
      <c r="N80" s="1"/>
      <c r="O80" s="1"/>
      <c r="T80" s="21"/>
    </row>
    <row r="81" spans="1:20" ht="14.25" customHeight="1">
      <c r="A81" s="290" t="s">
        <v>557</v>
      </c>
      <c r="B81" s="604">
        <v>12</v>
      </c>
      <c r="C81" s="397"/>
      <c r="D81" s="305"/>
      <c r="E81" s="305"/>
      <c r="F81" s="300"/>
      <c r="G81" s="516"/>
      <c r="H81" s="298"/>
      <c r="I81" t="s">
        <v>1064</v>
      </c>
      <c r="J81" s="606">
        <f>'Data Entry Sheet'!G50</f>
        <v>0.2</v>
      </c>
      <c r="K81"/>
      <c r="L81"/>
      <c r="M81"/>
      <c r="N81" s="1"/>
      <c r="O81" s="1"/>
      <c r="T81" s="21"/>
    </row>
    <row r="82" spans="1:20" ht="14.25" customHeight="1">
      <c r="A82" s="290" t="s">
        <v>556</v>
      </c>
      <c r="B82" s="604" t="s">
        <v>1064</v>
      </c>
      <c r="C82" s="269"/>
      <c r="D82" s="464">
        <f>VLOOKUP(B82,$I$54:$J$75,2,FALSE)</f>
        <v>1</v>
      </c>
      <c r="E82" s="311">
        <f>B81*(D82+0.15)*(B72-( IF(B82="suspended wood ",'Data Entry Sheet'!$D$32,'Data Entry Sheet'!$D$33)))</f>
        <v>162.83999999999997</v>
      </c>
      <c r="F82" s="299" t="s">
        <v>10</v>
      </c>
      <c r="G82" s="516"/>
      <c r="H82" s="298"/>
      <c r="I82" t="s">
        <v>57</v>
      </c>
      <c r="J82">
        <v>-0.15</v>
      </c>
      <c r="K82"/>
      <c r="L82"/>
      <c r="M82"/>
      <c r="N82" s="1"/>
      <c r="O82" s="1"/>
      <c r="T82" s="21"/>
    </row>
    <row r="83" spans="1:20" ht="14.25" customHeight="1">
      <c r="A83" s="290"/>
      <c r="B83" s="289"/>
      <c r="C83" s="516"/>
      <c r="D83" s="307"/>
      <c r="E83" s="307"/>
      <c r="F83" s="299"/>
      <c r="G83" s="516"/>
      <c r="H83" s="298"/>
      <c r="I83" t="s">
        <v>195</v>
      </c>
      <c r="J83">
        <v>2.8</v>
      </c>
      <c r="K83"/>
      <c r="L83"/>
      <c r="M83"/>
      <c r="N83" s="1"/>
      <c r="O83" s="1"/>
      <c r="T83" s="21"/>
    </row>
    <row r="84" spans="1:20" ht="14.25" customHeight="1">
      <c r="A84" s="291" t="s">
        <v>555</v>
      </c>
      <c r="B84" s="604" t="s">
        <v>972</v>
      </c>
      <c r="C84" s="269"/>
      <c r="D84" s="464">
        <f>VLOOKUP(B84,$I$113:J187,2,FALSE)</f>
        <v>1.5</v>
      </c>
      <c r="E84" s="311">
        <f>(B72-'Data Entry Sheet'!$D$32)*0.33*(B81*B73)*D84</f>
        <v>356.4</v>
      </c>
      <c r="F84" s="299" t="s">
        <v>10</v>
      </c>
      <c r="G84" s="516"/>
      <c r="H84" s="298"/>
      <c r="I84" t="s">
        <v>572</v>
      </c>
      <c r="J84">
        <v>1.7</v>
      </c>
      <c r="K84"/>
      <c r="L84"/>
      <c r="M84"/>
      <c r="N84" s="1"/>
      <c r="O84" s="1"/>
      <c r="T84" s="21"/>
    </row>
    <row r="85" spans="1:20" ht="14.25" customHeight="1">
      <c r="A85" s="268"/>
      <c r="B85" s="289"/>
      <c r="C85" s="289"/>
      <c r="D85" s="289"/>
      <c r="E85" s="289"/>
      <c r="F85" s="301"/>
      <c r="G85" s="421"/>
      <c r="H85" s="264"/>
      <c r="I85" t="s">
        <v>8</v>
      </c>
      <c r="J85">
        <v>0.54</v>
      </c>
      <c r="K85"/>
      <c r="L85"/>
      <c r="M85"/>
      <c r="N85" s="1"/>
      <c r="O85" s="1"/>
      <c r="T85" s="21"/>
    </row>
    <row r="86" spans="1:20" ht="14.25" customHeight="1">
      <c r="A86" s="718" t="s">
        <v>554</v>
      </c>
      <c r="B86" s="289"/>
      <c r="C86" s="289"/>
      <c r="D86" s="289"/>
      <c r="E86" s="289"/>
      <c r="F86" s="289"/>
      <c r="G86" s="299"/>
      <c r="H86" s="302"/>
      <c r="I86" t="s">
        <v>38</v>
      </c>
      <c r="J86">
        <v>0.44</v>
      </c>
      <c r="K86"/>
      <c r="L86"/>
      <c r="M86"/>
      <c r="N86" s="1"/>
      <c r="O86" s="29"/>
      <c r="P86" s="30"/>
      <c r="Q86" s="30"/>
      <c r="R86" s="30"/>
      <c r="S86" s="20"/>
      <c r="T86" s="22"/>
    </row>
    <row r="87" spans="1:20" ht="14.25" customHeight="1">
      <c r="A87" s="718"/>
      <c r="C87" s="289"/>
      <c r="D87" s="289"/>
      <c r="E87" s="421"/>
      <c r="F87" s="421"/>
      <c r="G87" s="421"/>
      <c r="H87" s="298"/>
      <c r="I87" t="s">
        <v>274</v>
      </c>
      <c r="J87">
        <v>0.44</v>
      </c>
      <c r="K87"/>
      <c r="L87"/>
      <c r="M87"/>
      <c r="N87" s="1"/>
    </row>
    <row r="88" spans="1:20" ht="14.25" customHeight="1">
      <c r="A88" s="551" t="s">
        <v>751</v>
      </c>
      <c r="B88" s="469" t="s">
        <v>993</v>
      </c>
      <c r="C88" s="289"/>
      <c r="D88" s="269" t="s">
        <v>1062</v>
      </c>
      <c r="E88" s="289"/>
      <c r="F88" s="289"/>
      <c r="G88" s="421"/>
      <c r="H88" s="298"/>
      <c r="I88" t="s">
        <v>37</v>
      </c>
      <c r="J88">
        <v>0.35</v>
      </c>
      <c r="K88"/>
      <c r="L88"/>
      <c r="M88"/>
      <c r="N88" s="1"/>
    </row>
    <row r="89" spans="1:20" s="17" customFormat="1" ht="14.25" customHeight="1">
      <c r="A89" s="133" t="s">
        <v>1081</v>
      </c>
      <c r="B89" s="133" t="s">
        <v>460</v>
      </c>
      <c r="C89" s="289"/>
      <c r="D89" s="133" t="s">
        <v>1063</v>
      </c>
      <c r="F89" s="312">
        <f>+IF(A89="UFH",G75/344)+IF(A89="radiators",0)</f>
        <v>0</v>
      </c>
      <c r="G89" s="289" t="s">
        <v>527</v>
      </c>
      <c r="H89" s="298"/>
      <c r="I89" t="s">
        <v>116</v>
      </c>
      <c r="J89">
        <v>0.32</v>
      </c>
      <c r="K89"/>
      <c r="L89"/>
      <c r="M89"/>
      <c r="N89" s="1"/>
    </row>
    <row r="90" spans="1:20" ht="14.25" customHeight="1">
      <c r="C90" s="289"/>
      <c r="D90" s="289"/>
      <c r="E90" s="289"/>
      <c r="F90" s="289"/>
      <c r="G90" s="421"/>
      <c r="H90" s="298"/>
      <c r="I90" t="s">
        <v>36</v>
      </c>
      <c r="J90">
        <v>0.25</v>
      </c>
      <c r="K90"/>
      <c r="L90"/>
      <c r="M90"/>
      <c r="N90" s="1"/>
    </row>
    <row r="91" spans="1:20" ht="14.25" customHeight="1">
      <c r="A91" s="268"/>
      <c r="B91" s="289"/>
      <c r="C91" s="289"/>
      <c r="D91" s="289"/>
      <c r="E91" s="289"/>
      <c r="F91" s="301"/>
      <c r="G91" s="722" t="s">
        <v>553</v>
      </c>
      <c r="H91" s="264"/>
      <c r="I91" t="s">
        <v>275</v>
      </c>
      <c r="J91">
        <v>0.22</v>
      </c>
      <c r="K91"/>
      <c r="L91"/>
      <c r="M91"/>
      <c r="N91" s="1"/>
    </row>
    <row r="92" spans="1:20" ht="14.25" customHeight="1">
      <c r="A92" s="468" t="s">
        <v>245</v>
      </c>
      <c r="B92" s="469" t="s">
        <v>126</v>
      </c>
      <c r="C92" s="289"/>
      <c r="D92" s="469" t="s">
        <v>14</v>
      </c>
      <c r="E92" s="469" t="s">
        <v>246</v>
      </c>
      <c r="F92" s="469" t="s">
        <v>15</v>
      </c>
      <c r="G92" s="723"/>
      <c r="H92" s="298"/>
      <c r="I92" t="s">
        <v>117</v>
      </c>
      <c r="J92">
        <v>0.2</v>
      </c>
      <c r="K92"/>
      <c r="L92"/>
      <c r="M92"/>
      <c r="N92" s="1"/>
    </row>
    <row r="93" spans="1:20" ht="14.25" customHeight="1">
      <c r="A93" s="23">
        <v>600</v>
      </c>
      <c r="B93" s="11">
        <v>900</v>
      </c>
      <c r="C93" s="289"/>
      <c r="D93" s="647" t="s">
        <v>1174</v>
      </c>
      <c r="E93" s="312">
        <f>A93*B93*1.05*(+IF(D93="SC_type11",0.000764)+IF(D93="DC_type22",0.001421)+IF(D93="DP+type21",0.001121))*('Data Entry Sheet'!$I$28/(B72+30))</f>
        <v>789.90882352941173</v>
      </c>
      <c r="F93" s="428">
        <f>+IF(A89="Radiators",((E93/G75)-1),"UFH")</f>
        <v>-0.29709349623756398</v>
      </c>
      <c r="G93" s="309">
        <f>IF(A89="Radiators",(((-1*F93)*(B72-'Data Entry Sheet'!$D$32))+'Data Entry Sheet'!$D$32),-10)</f>
        <v>3.4273374059390997</v>
      </c>
      <c r="H93" s="303" t="s">
        <v>53</v>
      </c>
      <c r="I93" t="s">
        <v>74</v>
      </c>
      <c r="J93">
        <v>0.19</v>
      </c>
      <c r="K93"/>
      <c r="L93"/>
      <c r="M93"/>
      <c r="N93" s="1"/>
    </row>
    <row r="94" spans="1:20" ht="14.25" customHeight="1">
      <c r="A94" s="273"/>
      <c r="C94" s="289"/>
      <c r="D94" s="289"/>
      <c r="E94" s="289"/>
      <c r="F94" s="439" t="s">
        <v>199</v>
      </c>
      <c r="G94" s="440"/>
      <c r="H94" s="298"/>
      <c r="I94" t="s">
        <v>35</v>
      </c>
      <c r="J94">
        <v>0.19</v>
      </c>
      <c r="K94"/>
      <c r="L94"/>
      <c r="M94"/>
      <c r="N94" s="1"/>
    </row>
    <row r="95" spans="1:20" ht="14.25" customHeight="1">
      <c r="A95" s="273" t="s">
        <v>552</v>
      </c>
      <c r="B95" s="289"/>
      <c r="C95" s="289"/>
      <c r="D95" s="289"/>
      <c r="E95" s="289"/>
      <c r="F95" s="289"/>
      <c r="G95" s="309">
        <f>'Data Entry Sheet'!$I$29*G75</f>
        <v>2697.0602296650713</v>
      </c>
      <c r="H95" s="298" t="s">
        <v>10</v>
      </c>
      <c r="I95" t="s">
        <v>194</v>
      </c>
      <c r="J95">
        <v>0.17</v>
      </c>
      <c r="K95"/>
      <c r="L95"/>
      <c r="M95"/>
      <c r="N95" s="1"/>
    </row>
    <row r="96" spans="1:20" ht="14.25" customHeight="1">
      <c r="A96" s="273" t="s">
        <v>551</v>
      </c>
      <c r="B96" s="289"/>
      <c r="C96" s="289"/>
      <c r="D96" s="308"/>
      <c r="E96" s="289"/>
      <c r="F96" s="289"/>
      <c r="G96" s="422"/>
      <c r="H96" s="298"/>
      <c r="I96" t="s">
        <v>32</v>
      </c>
      <c r="J96">
        <v>0.16</v>
      </c>
      <c r="K96"/>
      <c r="L96"/>
      <c r="M96"/>
      <c r="N96" s="1"/>
    </row>
    <row r="97" spans="1:14" ht="14.25" customHeight="1">
      <c r="A97" s="273"/>
      <c r="B97" s="289"/>
      <c r="C97" s="289"/>
      <c r="D97" s="308"/>
      <c r="E97" s="289"/>
      <c r="F97" s="289"/>
      <c r="G97" s="422"/>
      <c r="H97" s="298"/>
      <c r="I97" t="s">
        <v>31</v>
      </c>
      <c r="J97">
        <v>0.13</v>
      </c>
      <c r="K97"/>
      <c r="L97"/>
      <c r="M97"/>
      <c r="N97" s="1"/>
    </row>
    <row r="98" spans="1:14" ht="14.25" customHeight="1">
      <c r="A98" s="468" t="s">
        <v>550</v>
      </c>
      <c r="B98" s="469" t="s">
        <v>549</v>
      </c>
      <c r="C98" s="469"/>
      <c r="D98" s="469" t="s">
        <v>14</v>
      </c>
      <c r="E98" s="469"/>
      <c r="F98" s="469"/>
      <c r="G98" s="470"/>
      <c r="H98" s="471"/>
      <c r="I98" t="s">
        <v>276</v>
      </c>
      <c r="J98">
        <v>0.11</v>
      </c>
      <c r="K98"/>
      <c r="L98"/>
      <c r="M98"/>
      <c r="N98" s="1"/>
    </row>
    <row r="99" spans="1:14" ht="14.25" customHeight="1">
      <c r="A99" s="315">
        <f>A93</f>
        <v>600</v>
      </c>
      <c r="B99" s="316">
        <f>G75/(A93*0.001421)*(30/('Data Entry Sheet'!$I$28-B72))</f>
        <v>1363.5068743402894</v>
      </c>
      <c r="C99" s="289"/>
      <c r="D99" s="316" t="s">
        <v>548</v>
      </c>
      <c r="E99" s="289"/>
      <c r="F99" s="289"/>
      <c r="G99" s="470"/>
      <c r="H99" s="471"/>
      <c r="I99" t="s">
        <v>277</v>
      </c>
      <c r="J99">
        <v>7.2999999999999995E-2</v>
      </c>
      <c r="K99"/>
      <c r="L99"/>
      <c r="M99"/>
      <c r="N99" s="1"/>
    </row>
    <row r="100" spans="1:14" ht="14.25" customHeight="1" thickBot="1">
      <c r="A100" s="472"/>
      <c r="B100" s="306"/>
      <c r="C100" s="306"/>
      <c r="D100" s="306"/>
      <c r="E100" s="306"/>
      <c r="F100" s="306"/>
      <c r="G100" s="423"/>
      <c r="H100" s="304"/>
      <c r="I100" t="s">
        <v>20</v>
      </c>
      <c r="J100"/>
      <c r="K100"/>
      <c r="L100"/>
      <c r="M100"/>
      <c r="N100" s="1"/>
    </row>
    <row r="101" spans="1:14" ht="14.25" customHeight="1" thickBot="1">
      <c r="I101"/>
      <c r="J101"/>
      <c r="K101"/>
      <c r="L101"/>
      <c r="M101"/>
      <c r="N101" s="1"/>
    </row>
    <row r="102" spans="1:14" ht="14.25" customHeight="1">
      <c r="A102" s="719" t="s">
        <v>70</v>
      </c>
      <c r="B102" s="292"/>
      <c r="C102" s="293"/>
      <c r="D102" s="293"/>
      <c r="E102" s="293"/>
      <c r="F102" s="294"/>
      <c r="G102" s="419"/>
      <c r="H102" s="295"/>
      <c r="I102" t="s">
        <v>19</v>
      </c>
      <c r="J102" t="s">
        <v>234</v>
      </c>
      <c r="K102" t="s">
        <v>54</v>
      </c>
      <c r="L102" t="s">
        <v>233</v>
      </c>
      <c r="M102"/>
      <c r="N102" s="1"/>
    </row>
    <row r="103" spans="1:14" ht="14.25" customHeight="1">
      <c r="A103" s="720"/>
      <c r="B103" s="13" t="s">
        <v>1176</v>
      </c>
      <c r="C103" s="269"/>
      <c r="D103" s="299"/>
      <c r="E103" s="269"/>
      <c r="F103" s="269"/>
      <c r="G103" s="516"/>
      <c r="H103" s="264"/>
      <c r="I103" t="s">
        <v>52</v>
      </c>
      <c r="J103">
        <v>-0.2</v>
      </c>
      <c r="K103">
        <v>11</v>
      </c>
      <c r="L103">
        <v>27</v>
      </c>
      <c r="M103"/>
      <c r="N103" s="1"/>
    </row>
    <row r="104" spans="1:14" ht="12.75" customHeight="1">
      <c r="A104" s="273" t="s">
        <v>568</v>
      </c>
      <c r="B104" s="14">
        <v>21</v>
      </c>
      <c r="C104" s="397"/>
      <c r="D104" s="516" t="s">
        <v>567</v>
      </c>
      <c r="E104" s="516" t="s">
        <v>9</v>
      </c>
      <c r="F104" s="296"/>
      <c r="G104" s="297" t="s">
        <v>566</v>
      </c>
      <c r="H104" s="298"/>
      <c r="I104" t="s">
        <v>118</v>
      </c>
      <c r="J104">
        <v>-1.2</v>
      </c>
      <c r="K104">
        <v>10.5</v>
      </c>
      <c r="L104">
        <v>68</v>
      </c>
      <c r="M104"/>
      <c r="N104" s="1"/>
    </row>
    <row r="105" spans="1:14" ht="14.25" customHeight="1">
      <c r="A105" s="273" t="s">
        <v>565</v>
      </c>
      <c r="B105" s="14">
        <v>2.4</v>
      </c>
      <c r="C105" s="397"/>
      <c r="D105" s="269"/>
      <c r="E105" s="516"/>
      <c r="F105" s="296"/>
      <c r="G105" s="516"/>
      <c r="H105" s="298"/>
      <c r="I105" t="s">
        <v>47</v>
      </c>
      <c r="J105">
        <v>-1.6</v>
      </c>
      <c r="K105">
        <v>9.9</v>
      </c>
      <c r="L105">
        <v>67</v>
      </c>
      <c r="M105"/>
      <c r="N105" s="1"/>
    </row>
    <row r="106" spans="1:14" ht="14.25" customHeight="1">
      <c r="A106" s="273" t="s">
        <v>564</v>
      </c>
      <c r="B106" s="15">
        <v>4.3</v>
      </c>
      <c r="C106" s="397"/>
      <c r="D106" s="269"/>
      <c r="E106" s="269"/>
      <c r="F106" s="296"/>
      <c r="G106" s="516"/>
      <c r="H106" s="298"/>
      <c r="I106" t="s">
        <v>50</v>
      </c>
      <c r="J106">
        <v>-1.8</v>
      </c>
      <c r="K106">
        <v>10.199999999999999</v>
      </c>
      <c r="L106">
        <v>25</v>
      </c>
      <c r="M106"/>
      <c r="N106" s="1"/>
    </row>
    <row r="107" spans="1:14" ht="14.25" customHeight="1">
      <c r="A107" s="272" t="s">
        <v>563</v>
      </c>
      <c r="B107" s="604" t="s">
        <v>1064</v>
      </c>
      <c r="C107" s="269"/>
      <c r="D107" s="464">
        <f>VLOOKUP(B107,$I$23:$J$49,2,FALSE)</f>
        <v>2.11</v>
      </c>
      <c r="E107" s="311">
        <f>(((B105)*B106)-B108)*(D107+0.15)*(B104-'Data Entry Sheet'!$D$32)</f>
        <v>498.32999999999987</v>
      </c>
      <c r="F107" s="299" t="s">
        <v>10</v>
      </c>
      <c r="G107" s="309">
        <f>SUM(E107:E116)*((B105+81)/83.6)</f>
        <v>1125.4959688995214</v>
      </c>
      <c r="H107" s="264"/>
      <c r="I107" t="s">
        <v>51</v>
      </c>
      <c r="J107">
        <v>-2.2000000000000002</v>
      </c>
      <c r="K107">
        <v>10</v>
      </c>
      <c r="L107">
        <v>75</v>
      </c>
      <c r="M107"/>
      <c r="N107" s="1"/>
    </row>
    <row r="108" spans="1:14" ht="14.25" customHeight="1" thickBot="1">
      <c r="A108" s="290" t="s">
        <v>562</v>
      </c>
      <c r="B108" s="15">
        <v>1.5</v>
      </c>
      <c r="C108" s="269"/>
      <c r="D108" s="397"/>
      <c r="E108" s="289"/>
      <c r="F108" s="299"/>
      <c r="G108" s="297" t="s">
        <v>243</v>
      </c>
      <c r="H108" s="298"/>
      <c r="I108" t="s">
        <v>46</v>
      </c>
      <c r="J108">
        <v>-3.4</v>
      </c>
      <c r="K108">
        <v>9.8000000000000007</v>
      </c>
      <c r="L108">
        <v>96</v>
      </c>
      <c r="M108"/>
      <c r="N108" s="1"/>
    </row>
    <row r="109" spans="1:14" ht="15.75" thickBot="1">
      <c r="A109" s="290" t="s">
        <v>561</v>
      </c>
      <c r="B109" s="604" t="s">
        <v>1064</v>
      </c>
      <c r="C109" s="269"/>
      <c r="D109" s="464">
        <f>VLOOKUP(B109,$I$4:$J$16,2,FALSE)</f>
        <v>2.8</v>
      </c>
      <c r="E109" s="311">
        <f>B108*(D109+0.15)*(B104-'Data Entry Sheet'!$D$32)</f>
        <v>110.625</v>
      </c>
      <c r="F109" s="299" t="s">
        <v>10</v>
      </c>
      <c r="G109" s="420">
        <f>G107/B113</f>
        <v>93.79133074162678</v>
      </c>
      <c r="H109" s="264"/>
      <c r="I109" t="s">
        <v>48</v>
      </c>
      <c r="J109">
        <v>-3.4</v>
      </c>
      <c r="K109">
        <v>8.5</v>
      </c>
      <c r="L109">
        <v>35</v>
      </c>
      <c r="M109"/>
      <c r="N109" s="1"/>
    </row>
    <row r="110" spans="1:14" ht="14.25" customHeight="1">
      <c r="A110" s="290" t="s">
        <v>560</v>
      </c>
      <c r="B110" s="604">
        <v>0</v>
      </c>
      <c r="C110" s="397"/>
      <c r="D110" s="516"/>
      <c r="E110" s="305"/>
      <c r="F110" s="299"/>
      <c r="G110" s="470" t="s">
        <v>127</v>
      </c>
      <c r="H110" s="298"/>
      <c r="I110" t="s">
        <v>49</v>
      </c>
      <c r="J110">
        <v>-3.9</v>
      </c>
      <c r="K110">
        <v>8.5</v>
      </c>
      <c r="L110">
        <v>5</v>
      </c>
      <c r="M110"/>
      <c r="N110" s="1"/>
    </row>
    <row r="111" spans="1:14" ht="14.25" customHeight="1">
      <c r="A111" s="290" t="s">
        <v>559</v>
      </c>
      <c r="B111" s="604">
        <v>0</v>
      </c>
      <c r="C111" s="397"/>
      <c r="D111" s="516"/>
      <c r="E111" s="305"/>
      <c r="F111" s="299"/>
      <c r="G111" s="309">
        <f>+IF(A121="UFH",(G107*0.71/85),((+IF(D125="dp+type21",14.5)+IF(D125="SC_type11",7.3)+IF(D125="SC",7)+IF(D125="DC_type22",14.5))*(A125*B125))/1000000)</f>
        <v>5.8</v>
      </c>
      <c r="H111" s="298" t="s">
        <v>244</v>
      </c>
      <c r="I111" t="s">
        <v>808</v>
      </c>
      <c r="J111">
        <v>-0.2</v>
      </c>
      <c r="K111">
        <v>11</v>
      </c>
      <c r="L111">
        <v>0</v>
      </c>
      <c r="M111"/>
      <c r="N111" s="1"/>
    </row>
    <row r="112" spans="1:14" ht="14.25" customHeight="1">
      <c r="A112" s="290" t="s">
        <v>558</v>
      </c>
      <c r="B112" s="604" t="s">
        <v>1064</v>
      </c>
      <c r="C112" s="269"/>
      <c r="D112" s="464">
        <f>VLOOKUP(B112,$I$81:$J$100,2,FALSE)</f>
        <v>0.2</v>
      </c>
      <c r="E112" s="311">
        <f>((B110-B111)*(D112+0.15)*(B104-'Data Entry Sheet'!D128))+(B111*(B104-'Data Entry Sheet'!$D$32)*2.8)</f>
        <v>0</v>
      </c>
      <c r="F112" s="299" t="s">
        <v>10</v>
      </c>
      <c r="G112" s="516"/>
      <c r="H112" s="298"/>
      <c r="I112" t="s">
        <v>63</v>
      </c>
      <c r="J112" t="s">
        <v>68</v>
      </c>
      <c r="K112"/>
      <c r="L112"/>
      <c r="M112"/>
      <c r="N112" s="1"/>
    </row>
    <row r="113" spans="1:14" ht="14.25" customHeight="1">
      <c r="A113" s="290" t="s">
        <v>557</v>
      </c>
      <c r="B113" s="604">
        <v>12</v>
      </c>
      <c r="C113" s="397"/>
      <c r="D113" s="305"/>
      <c r="E113" s="305"/>
      <c r="F113" s="300"/>
      <c r="G113" s="516"/>
      <c r="H113" s="298"/>
      <c r="I113" t="s">
        <v>1064</v>
      </c>
      <c r="J113" t="e">
        <f>#REF!</f>
        <v>#REF!</v>
      </c>
      <c r="K113"/>
      <c r="L113"/>
      <c r="M113"/>
      <c r="N113" s="1"/>
    </row>
    <row r="114" spans="1:14" s="17" customFormat="1" ht="14.25" customHeight="1">
      <c r="A114" s="290" t="s">
        <v>556</v>
      </c>
      <c r="B114" s="604" t="s">
        <v>1064</v>
      </c>
      <c r="C114" s="269"/>
      <c r="D114" s="464">
        <f>VLOOKUP(B114,$I$54:$J$75,2,FALSE)</f>
        <v>1</v>
      </c>
      <c r="E114" s="311">
        <f>B113*(D114+0.15)*(B104-( IF(B114="suspended wood ",'Data Entry Sheet'!$D$32,'Data Entry Sheet'!$D$33)))</f>
        <v>162.83999999999997</v>
      </c>
      <c r="F114" s="299" t="s">
        <v>10</v>
      </c>
      <c r="G114" s="516"/>
      <c r="H114" s="298"/>
      <c r="I114" t="s">
        <v>69</v>
      </c>
      <c r="J114">
        <v>0.2</v>
      </c>
      <c r="K114"/>
      <c r="L114"/>
      <c r="M114"/>
      <c r="N114" s="1"/>
    </row>
    <row r="115" spans="1:14" ht="14.25" customHeight="1">
      <c r="A115" s="290"/>
      <c r="B115" s="289"/>
      <c r="C115" s="516"/>
      <c r="D115" s="307"/>
      <c r="E115" s="307"/>
      <c r="F115" s="299"/>
      <c r="G115" s="516"/>
      <c r="H115" s="298"/>
      <c r="I115" t="s">
        <v>971</v>
      </c>
      <c r="J115">
        <v>0.57999999999999996</v>
      </c>
      <c r="K115"/>
      <c r="L115"/>
      <c r="M115"/>
      <c r="N115" s="1"/>
    </row>
    <row r="116" spans="1:14" ht="14.25" customHeight="1">
      <c r="A116" s="291" t="s">
        <v>555</v>
      </c>
      <c r="B116" s="604" t="s">
        <v>62</v>
      </c>
      <c r="C116" s="269"/>
      <c r="D116" s="464">
        <f>VLOOKUP(B116,$I$113:J219,2,FALSE)</f>
        <v>1.5</v>
      </c>
      <c r="E116" s="311">
        <f>(B104-'Data Entry Sheet'!$D$32)*0.33*(B113*B105)*D116</f>
        <v>356.4</v>
      </c>
      <c r="F116" s="299" t="s">
        <v>10</v>
      </c>
      <c r="G116" s="516"/>
      <c r="H116" s="298"/>
      <c r="I116" t="s">
        <v>67</v>
      </c>
      <c r="J116">
        <v>0.7</v>
      </c>
      <c r="K116"/>
      <c r="L116"/>
      <c r="M116"/>
      <c r="N116" s="1"/>
    </row>
    <row r="117" spans="1:14" ht="14.25" customHeight="1">
      <c r="A117" s="268"/>
      <c r="B117" s="289"/>
      <c r="C117" s="289"/>
      <c r="D117" s="289"/>
      <c r="E117" s="289"/>
      <c r="F117" s="301"/>
      <c r="G117" s="421"/>
      <c r="H117" s="264"/>
      <c r="I117" t="s">
        <v>972</v>
      </c>
      <c r="J117">
        <v>1.5</v>
      </c>
      <c r="K117"/>
      <c r="L117"/>
      <c r="M117"/>
      <c r="N117" s="1"/>
    </row>
    <row r="118" spans="1:14" ht="14.25" customHeight="1">
      <c r="A118" s="718" t="s">
        <v>554</v>
      </c>
      <c r="B118" s="289"/>
      <c r="C118" s="289"/>
      <c r="D118" s="289"/>
      <c r="E118" s="289"/>
      <c r="F118" s="289"/>
      <c r="G118" s="299"/>
      <c r="H118" s="302"/>
      <c r="I118" t="s">
        <v>62</v>
      </c>
      <c r="J118">
        <v>1.5</v>
      </c>
      <c r="K118"/>
      <c r="L118"/>
      <c r="M118"/>
      <c r="N118" s="1"/>
    </row>
    <row r="119" spans="1:14" ht="14.25" customHeight="1">
      <c r="A119" s="718"/>
      <c r="C119" s="289"/>
      <c r="D119" s="289"/>
      <c r="E119" s="421"/>
      <c r="F119" s="421"/>
      <c r="G119" s="421"/>
      <c r="H119" s="298"/>
      <c r="I119" t="s">
        <v>64</v>
      </c>
      <c r="J119">
        <v>1</v>
      </c>
      <c r="K119"/>
      <c r="L119"/>
      <c r="M119"/>
      <c r="N119" s="1"/>
    </row>
    <row r="120" spans="1:14" ht="14.25" customHeight="1">
      <c r="A120" s="551" t="s">
        <v>751</v>
      </c>
      <c r="B120" s="469" t="s">
        <v>993</v>
      </c>
      <c r="C120" s="289"/>
      <c r="D120" s="269" t="s">
        <v>1062</v>
      </c>
      <c r="E120" s="289"/>
      <c r="F120" s="289"/>
      <c r="G120" s="421"/>
      <c r="H120" s="298"/>
      <c r="I120" t="s">
        <v>65</v>
      </c>
      <c r="J120">
        <v>2</v>
      </c>
      <c r="K120"/>
      <c r="L120"/>
      <c r="M120"/>
      <c r="N120" s="1"/>
    </row>
    <row r="121" spans="1:14" ht="14.25" customHeight="1">
      <c r="A121" s="133" t="s">
        <v>1081</v>
      </c>
      <c r="B121" s="133" t="s">
        <v>460</v>
      </c>
      <c r="C121" s="289"/>
      <c r="D121" s="133" t="s">
        <v>1063</v>
      </c>
      <c r="F121" s="312">
        <f>+IF(A121="UFH",G107/344)+IF(A121="radiators",0)</f>
        <v>0</v>
      </c>
      <c r="G121" s="289" t="s">
        <v>527</v>
      </c>
      <c r="H121" s="298"/>
      <c r="I121" t="s">
        <v>60</v>
      </c>
      <c r="J121">
        <v>2</v>
      </c>
      <c r="K121"/>
      <c r="L121"/>
      <c r="M121"/>
      <c r="N121" s="1"/>
    </row>
    <row r="122" spans="1:14" ht="14.25" customHeight="1">
      <c r="C122" s="289"/>
      <c r="D122" s="289"/>
      <c r="E122" s="289"/>
      <c r="F122" s="289"/>
      <c r="G122" s="421"/>
      <c r="H122" s="298"/>
      <c r="I122" t="s">
        <v>66</v>
      </c>
      <c r="J122">
        <v>2</v>
      </c>
      <c r="K122"/>
      <c r="L122"/>
      <c r="M122"/>
      <c r="N122" s="1"/>
    </row>
    <row r="123" spans="1:14" ht="14.25" customHeight="1">
      <c r="A123" s="268"/>
      <c r="B123" s="289"/>
      <c r="C123" s="289"/>
      <c r="D123" s="289"/>
      <c r="E123" s="289"/>
      <c r="F123" s="301"/>
      <c r="G123" s="722" t="s">
        <v>553</v>
      </c>
      <c r="H123" s="264"/>
      <c r="I123" t="s">
        <v>89</v>
      </c>
      <c r="J123"/>
      <c r="K123"/>
      <c r="L123"/>
      <c r="M123"/>
      <c r="N123" s="1"/>
    </row>
    <row r="124" spans="1:14" ht="14.25" customHeight="1">
      <c r="A124" s="468" t="s">
        <v>245</v>
      </c>
      <c r="B124" s="469" t="s">
        <v>126</v>
      </c>
      <c r="C124" s="289"/>
      <c r="D124" s="469" t="s">
        <v>14</v>
      </c>
      <c r="E124" s="469" t="s">
        <v>246</v>
      </c>
      <c r="F124" s="469" t="s">
        <v>15</v>
      </c>
      <c r="G124" s="723"/>
      <c r="H124" s="298"/>
      <c r="I124"/>
      <c r="J124"/>
      <c r="K124"/>
      <c r="L124"/>
      <c r="M124"/>
      <c r="N124" s="1"/>
    </row>
    <row r="125" spans="1:14" ht="14.25" customHeight="1">
      <c r="A125" s="23">
        <v>500</v>
      </c>
      <c r="B125" s="11">
        <v>800</v>
      </c>
      <c r="C125" s="289"/>
      <c r="D125" s="11" t="s">
        <v>1174</v>
      </c>
      <c r="E125" s="312">
        <f>A125*B125*1.05*(+IF(D125="SC_type11",0.000764)+IF(D125="DC_type22",0.001421)+IF(D125="DP+type21",0.001121))*('Data Entry Sheet'!$I$28/(B104+30))</f>
        <v>585.11764705882342</v>
      </c>
      <c r="F125" s="428">
        <f>+IF(A121="Radiators",((E125/G107)-1),"UFH")</f>
        <v>-0.48012461774435744</v>
      </c>
      <c r="G125" s="309">
        <f>IF(A121="Radiators",(((-1*F125)*(B104-'Data Entry Sheet'!$D$32))+'Data Entry Sheet'!$D$32),-10)</f>
        <v>8.0031154436089356</v>
      </c>
      <c r="H125" s="303" t="s">
        <v>53</v>
      </c>
      <c r="I125"/>
      <c r="J125"/>
      <c r="K125"/>
      <c r="L125"/>
      <c r="M125"/>
      <c r="N125" s="1"/>
    </row>
    <row r="126" spans="1:14" ht="14.25" customHeight="1">
      <c r="A126" s="273"/>
      <c r="C126" s="289"/>
      <c r="D126" s="289"/>
      <c r="E126" s="289"/>
      <c r="F126" s="439" t="s">
        <v>199</v>
      </c>
      <c r="G126" s="440" t="e">
        <f>B104-#REF!</f>
        <v>#REF!</v>
      </c>
      <c r="H126" s="298"/>
      <c r="I126"/>
      <c r="J126"/>
      <c r="K126"/>
      <c r="L126"/>
      <c r="M126"/>
      <c r="N126" s="1"/>
    </row>
    <row r="127" spans="1:14" ht="14.25" customHeight="1">
      <c r="A127" s="273" t="s">
        <v>552</v>
      </c>
      <c r="B127" s="289"/>
      <c r="C127" s="289"/>
      <c r="D127" s="289"/>
      <c r="E127" s="289"/>
      <c r="F127" s="289"/>
      <c r="G127" s="309">
        <f>'Data Entry Sheet'!$I$29*G107</f>
        <v>2701.1903253588512</v>
      </c>
      <c r="H127" s="298" t="s">
        <v>10</v>
      </c>
      <c r="I127"/>
      <c r="J127"/>
      <c r="K127"/>
      <c r="L127"/>
      <c r="M127"/>
      <c r="N127" s="1"/>
    </row>
    <row r="128" spans="1:14" ht="14.25" customHeight="1">
      <c r="A128" s="273" t="s">
        <v>551</v>
      </c>
      <c r="B128" s="289"/>
      <c r="C128" s="289"/>
      <c r="D128" s="308"/>
      <c r="E128" s="289"/>
      <c r="F128" s="289"/>
      <c r="G128" s="422"/>
      <c r="H128" s="298"/>
      <c r="I128"/>
      <c r="J128"/>
      <c r="K128"/>
      <c r="L128"/>
      <c r="M128"/>
      <c r="N128" s="1"/>
    </row>
    <row r="129" spans="1:14" ht="14.25" customHeight="1">
      <c r="A129" s="273"/>
      <c r="B129" s="289"/>
      <c r="C129" s="289"/>
      <c r="D129" s="308"/>
      <c r="E129" s="289"/>
      <c r="F129" s="289"/>
      <c r="G129" s="422"/>
      <c r="H129" s="298"/>
      <c r="I129" t="s">
        <v>138</v>
      </c>
      <c r="J129" t="s">
        <v>571</v>
      </c>
      <c r="K129" t="s">
        <v>570</v>
      </c>
      <c r="L129" t="s">
        <v>569</v>
      </c>
      <c r="M129"/>
      <c r="N129" s="1"/>
    </row>
    <row r="130" spans="1:14" ht="14.25" customHeight="1">
      <c r="A130" s="468" t="s">
        <v>550</v>
      </c>
      <c r="B130" s="469" t="s">
        <v>549</v>
      </c>
      <c r="C130" s="469"/>
      <c r="D130" s="469" t="s">
        <v>14</v>
      </c>
      <c r="E130" s="469"/>
      <c r="F130" s="469"/>
      <c r="G130" s="470"/>
      <c r="H130" s="471"/>
      <c r="I130">
        <v>35</v>
      </c>
      <c r="J130">
        <v>6.8</v>
      </c>
      <c r="K130">
        <v>3.6</v>
      </c>
      <c r="L130" t="s">
        <v>470</v>
      </c>
      <c r="M130"/>
      <c r="N130" s="1"/>
    </row>
    <row r="131" spans="1:14" ht="14.25" customHeight="1">
      <c r="A131" s="315">
        <f>A125</f>
        <v>500</v>
      </c>
      <c r="B131" s="316">
        <f>G107/(A125*0.001421)*(30/('Data Entry Sheet'!$I$28-B104))</f>
        <v>1638.713827900975</v>
      </c>
      <c r="C131" s="289"/>
      <c r="D131" s="316" t="s">
        <v>548</v>
      </c>
      <c r="E131" s="289"/>
      <c r="F131" s="289"/>
      <c r="G131" s="470"/>
      <c r="H131" s="471"/>
      <c r="I131">
        <v>40</v>
      </c>
      <c r="J131">
        <v>4.3</v>
      </c>
      <c r="K131">
        <v>3.4</v>
      </c>
      <c r="L131" t="s">
        <v>469</v>
      </c>
      <c r="M131"/>
      <c r="N131" s="1"/>
    </row>
    <row r="132" spans="1:14" ht="14.25" customHeight="1" thickBot="1">
      <c r="A132" s="472"/>
      <c r="B132" s="306"/>
      <c r="C132" s="306"/>
      <c r="D132" s="306"/>
      <c r="E132" s="306"/>
      <c r="F132" s="306"/>
      <c r="G132" s="423"/>
      <c r="H132" s="304"/>
      <c r="I132" s="3">
        <v>45</v>
      </c>
      <c r="J132" s="3">
        <v>3.1</v>
      </c>
      <c r="K132" s="3">
        <v>3</v>
      </c>
      <c r="L132" s="3" t="s">
        <v>468</v>
      </c>
      <c r="M132"/>
      <c r="N132" s="1"/>
    </row>
    <row r="133" spans="1:14" ht="14.25" customHeight="1" thickBot="1">
      <c r="I133" s="3">
        <v>50</v>
      </c>
      <c r="J133" s="3">
        <v>2.4</v>
      </c>
      <c r="K133" s="3">
        <v>2.7</v>
      </c>
      <c r="L133" s="3" t="s">
        <v>426</v>
      </c>
      <c r="M133"/>
      <c r="N133" s="1"/>
    </row>
    <row r="134" spans="1:14" ht="12.75" customHeight="1">
      <c r="A134" s="719" t="s">
        <v>70</v>
      </c>
      <c r="B134" s="292"/>
      <c r="C134" s="293"/>
      <c r="D134" s="293"/>
      <c r="E134" s="293"/>
      <c r="F134" s="294"/>
      <c r="G134" s="419"/>
      <c r="H134" s="295"/>
      <c r="I134" s="3">
        <v>55</v>
      </c>
      <c r="J134" s="3">
        <v>1.9</v>
      </c>
      <c r="K134" s="3">
        <v>2.4</v>
      </c>
      <c r="L134" s="3" t="s">
        <v>467</v>
      </c>
      <c r="M134"/>
      <c r="N134" s="1"/>
    </row>
    <row r="135" spans="1:14" ht="14.25" customHeight="1">
      <c r="A135" s="720"/>
      <c r="B135" s="13" t="s">
        <v>1177</v>
      </c>
      <c r="C135" s="269"/>
      <c r="D135" s="299"/>
      <c r="E135" s="269"/>
      <c r="F135" s="269"/>
      <c r="G135" s="516"/>
      <c r="H135" s="264"/>
      <c r="I135" s="3">
        <v>60</v>
      </c>
      <c r="J135" s="3">
        <v>1.4</v>
      </c>
      <c r="K135" s="3">
        <v>2.1</v>
      </c>
      <c r="L135" s="3" t="s">
        <v>466</v>
      </c>
      <c r="M135"/>
      <c r="N135" s="1"/>
    </row>
    <row r="136" spans="1:14" ht="14.25" customHeight="1">
      <c r="A136" s="273" t="s">
        <v>568</v>
      </c>
      <c r="B136" s="14">
        <v>18</v>
      </c>
      <c r="C136" s="397"/>
      <c r="D136" s="516" t="s">
        <v>567</v>
      </c>
      <c r="E136" s="516" t="s">
        <v>9</v>
      </c>
      <c r="F136" s="296"/>
      <c r="G136" s="297" t="s">
        <v>566</v>
      </c>
      <c r="H136" s="298"/>
      <c r="I136" s="3">
        <v>65</v>
      </c>
      <c r="J136" s="3">
        <v>1.2</v>
      </c>
      <c r="K136" s="3" t="s">
        <v>212</v>
      </c>
      <c r="L136" s="3" t="s">
        <v>738</v>
      </c>
      <c r="M136"/>
      <c r="N136" s="1"/>
    </row>
    <row r="137" spans="1:14" ht="14.25" customHeight="1">
      <c r="A137" s="273" t="s">
        <v>565</v>
      </c>
      <c r="B137" s="14">
        <v>2.4</v>
      </c>
      <c r="C137" s="397"/>
      <c r="D137" s="269"/>
      <c r="E137" s="516"/>
      <c r="F137" s="296"/>
      <c r="G137" s="516"/>
      <c r="H137" s="298"/>
      <c r="I137"/>
      <c r="J137"/>
      <c r="K137"/>
      <c r="L137"/>
      <c r="M137"/>
      <c r="N137" s="1"/>
    </row>
    <row r="138" spans="1:14" ht="15">
      <c r="A138" s="273" t="s">
        <v>564</v>
      </c>
      <c r="B138" s="15">
        <v>2</v>
      </c>
      <c r="C138" s="397"/>
      <c r="D138" s="269"/>
      <c r="E138" s="269"/>
      <c r="F138" s="296"/>
      <c r="G138" s="516"/>
      <c r="H138" s="298"/>
      <c r="I138" t="s">
        <v>1024</v>
      </c>
      <c r="J138"/>
      <c r="K138"/>
      <c r="L138"/>
      <c r="M138"/>
      <c r="N138" s="1"/>
    </row>
    <row r="139" spans="1:14" s="17" customFormat="1" ht="14.25" customHeight="1">
      <c r="A139" s="272" t="s">
        <v>563</v>
      </c>
      <c r="B139" s="604" t="s">
        <v>1064</v>
      </c>
      <c r="C139" s="269"/>
      <c r="D139" s="464">
        <f>VLOOKUP(B139,$I$23:$J$49,2,FALSE)</f>
        <v>2.11</v>
      </c>
      <c r="E139" s="311">
        <f>(((B137)*B138)-B140)*(D139+0.15)*(B136-'Data Entry Sheet'!$D$32)</f>
        <v>164.07599999999999</v>
      </c>
      <c r="F139" s="299" t="s">
        <v>10</v>
      </c>
      <c r="G139" s="309">
        <f>SUM(E139:E148)*((B137+81)/83.6)</f>
        <v>406.41338755980871</v>
      </c>
      <c r="H139" s="264"/>
      <c r="I139" t="s">
        <v>1005</v>
      </c>
      <c r="J139"/>
      <c r="K139"/>
      <c r="L139"/>
      <c r="M139"/>
      <c r="N139" s="1"/>
    </row>
    <row r="140" spans="1:14" ht="14.25" customHeight="1" thickBot="1">
      <c r="A140" s="290" t="s">
        <v>562</v>
      </c>
      <c r="B140" s="15">
        <v>1.5</v>
      </c>
      <c r="C140" s="269"/>
      <c r="D140" s="397"/>
      <c r="E140" s="289"/>
      <c r="F140" s="299"/>
      <c r="G140" s="297" t="s">
        <v>243</v>
      </c>
      <c r="H140" s="298"/>
      <c r="I140" t="s">
        <v>1006</v>
      </c>
      <c r="J140"/>
      <c r="K140"/>
      <c r="L140"/>
      <c r="M140"/>
      <c r="N140" s="1"/>
    </row>
    <row r="141" spans="1:14" ht="14.25" customHeight="1" thickBot="1">
      <c r="A141" s="290" t="s">
        <v>561</v>
      </c>
      <c r="B141" s="604" t="s">
        <v>1064</v>
      </c>
      <c r="C141" s="269"/>
      <c r="D141" s="464">
        <f>VLOOKUP(B141,$I$4:$J$16,2,FALSE)</f>
        <v>2.8</v>
      </c>
      <c r="E141" s="311">
        <f>B140*(D141+0.15)*(B136-'Data Entry Sheet'!$D$32)</f>
        <v>97.35</v>
      </c>
      <c r="F141" s="299" t="s">
        <v>10</v>
      </c>
      <c r="G141" s="420">
        <f>G139/B145</f>
        <v>90.314086124401939</v>
      </c>
      <c r="H141" s="264"/>
      <c r="I141" t="s">
        <v>1007</v>
      </c>
      <c r="J141"/>
      <c r="K141"/>
      <c r="L141"/>
      <c r="M141"/>
      <c r="N141" s="1"/>
    </row>
    <row r="142" spans="1:14" ht="14.25" customHeight="1">
      <c r="A142" s="290" t="s">
        <v>560</v>
      </c>
      <c r="B142" s="604">
        <v>4.5</v>
      </c>
      <c r="C142" s="397"/>
      <c r="D142" s="516"/>
      <c r="E142" s="305"/>
      <c r="F142" s="299"/>
      <c r="G142" s="470" t="s">
        <v>127</v>
      </c>
      <c r="H142" s="298"/>
      <c r="I142" t="s">
        <v>1008</v>
      </c>
      <c r="J142"/>
      <c r="K142"/>
      <c r="L142"/>
      <c r="M142"/>
      <c r="N142" s="1"/>
    </row>
    <row r="143" spans="1:14" ht="14.25" customHeight="1">
      <c r="A143" s="290" t="s">
        <v>559</v>
      </c>
      <c r="B143" s="604">
        <v>0</v>
      </c>
      <c r="C143" s="397"/>
      <c r="D143" s="516"/>
      <c r="E143" s="305"/>
      <c r="F143" s="299"/>
      <c r="G143" s="309">
        <f>+IF(A153="UFH",(G139*0.71/85),((+IF(D157="dp+type21",14.5)+IF(D157="SC_type11",7.3)+IF(D157="SC",7)+IF(D157="DC_type22",14.5))*(A157*B157))/1000000)</f>
        <v>0</v>
      </c>
      <c r="H143" s="298" t="s">
        <v>244</v>
      </c>
      <c r="I143" t="s">
        <v>1009</v>
      </c>
      <c r="J143"/>
      <c r="K143"/>
      <c r="L143"/>
      <c r="M143"/>
      <c r="N143" s="1"/>
    </row>
    <row r="144" spans="1:14" ht="14.25" customHeight="1">
      <c r="A144" s="290" t="s">
        <v>558</v>
      </c>
      <c r="B144" s="604" t="s">
        <v>1064</v>
      </c>
      <c r="C144" s="269"/>
      <c r="D144" s="464">
        <f>VLOOKUP(B144,$I$81:$J$100,2,FALSE)</f>
        <v>0.2</v>
      </c>
      <c r="E144" s="311">
        <f>((B142-B143)*(D144+0.15)*(B136-'Data Entry Sheet'!D160))+(B143*(B136-'Data Entry Sheet'!$D$32)*2.8)</f>
        <v>28.349999999999998</v>
      </c>
      <c r="F144" s="299" t="s">
        <v>10</v>
      </c>
      <c r="G144" s="516"/>
      <c r="H144" s="298"/>
      <c r="I144" s="605" t="s">
        <v>1010</v>
      </c>
      <c r="J144"/>
      <c r="K144"/>
      <c r="L144"/>
      <c r="M144"/>
      <c r="N144" s="1"/>
    </row>
    <row r="145" spans="1:14" ht="14.25" customHeight="1">
      <c r="A145" s="290" t="s">
        <v>557</v>
      </c>
      <c r="B145" s="604">
        <v>4.5</v>
      </c>
      <c r="C145" s="397"/>
      <c r="D145" s="305"/>
      <c r="E145" s="305"/>
      <c r="F145" s="300"/>
      <c r="G145" s="516"/>
      <c r="H145" s="298"/>
      <c r="I145" t="s">
        <v>1011</v>
      </c>
      <c r="J145"/>
      <c r="K145"/>
      <c r="L145"/>
      <c r="M145"/>
      <c r="N145" s="1"/>
    </row>
    <row r="146" spans="1:14" ht="14.25" customHeight="1">
      <c r="A146" s="290" t="s">
        <v>556</v>
      </c>
      <c r="B146" s="604" t="s">
        <v>93</v>
      </c>
      <c r="C146" s="269"/>
      <c r="D146" s="464">
        <f>VLOOKUP(B146,$I$54:$J$75,2,FALSE)</f>
        <v>-0.15</v>
      </c>
      <c r="E146" s="311">
        <f>B145*(D146+0.15)*(B136-( IF(B146="suspended wood ",'Data Entry Sheet'!$D$32,'Data Entry Sheet'!$D$33)))</f>
        <v>0</v>
      </c>
      <c r="F146" s="299" t="s">
        <v>10</v>
      </c>
      <c r="G146" s="516"/>
      <c r="H146" s="298"/>
      <c r="I146" t="s">
        <v>1012</v>
      </c>
      <c r="J146"/>
      <c r="K146"/>
      <c r="L146"/>
      <c r="M146"/>
      <c r="N146" s="1"/>
    </row>
    <row r="147" spans="1:14" ht="14.25" customHeight="1">
      <c r="A147" s="290"/>
      <c r="B147" s="289"/>
      <c r="C147" s="516"/>
      <c r="D147" s="307"/>
      <c r="E147" s="307"/>
      <c r="F147" s="299"/>
      <c r="G147" s="516"/>
      <c r="H147" s="298"/>
      <c r="I147" t="s">
        <v>1013</v>
      </c>
      <c r="J147"/>
      <c r="K147"/>
      <c r="L147"/>
      <c r="M147"/>
      <c r="N147" s="1"/>
    </row>
    <row r="148" spans="1:14" ht="14.25" customHeight="1">
      <c r="A148" s="291" t="s">
        <v>555</v>
      </c>
      <c r="B148" s="604" t="s">
        <v>972</v>
      </c>
      <c r="C148" s="269"/>
      <c r="D148" s="464">
        <f>VLOOKUP(B148,$I$113:J251,2,FALSE)</f>
        <v>1.5</v>
      </c>
      <c r="E148" s="311">
        <f>(B136-'Data Entry Sheet'!$D$32)*0.33*(B145*B137)*D148</f>
        <v>117.61199999999999</v>
      </c>
      <c r="F148" s="299" t="s">
        <v>10</v>
      </c>
      <c r="G148" s="516"/>
      <c r="H148" s="298"/>
      <c r="I148" t="s">
        <v>1014</v>
      </c>
      <c r="J148"/>
      <c r="K148"/>
      <c r="L148"/>
      <c r="M148"/>
      <c r="N148" s="1"/>
    </row>
    <row r="149" spans="1:14" ht="14.25" customHeight="1">
      <c r="A149" s="268"/>
      <c r="B149" s="289"/>
      <c r="C149" s="289"/>
      <c r="D149" s="289"/>
      <c r="E149" s="289"/>
      <c r="F149" s="301"/>
      <c r="G149" s="421"/>
      <c r="H149" s="264"/>
      <c r="I149" t="s">
        <v>1015</v>
      </c>
      <c r="J149"/>
      <c r="K149"/>
      <c r="L149"/>
      <c r="M149"/>
      <c r="N149" s="1"/>
    </row>
    <row r="150" spans="1:14" ht="14.25" customHeight="1">
      <c r="A150" s="718" t="s">
        <v>554</v>
      </c>
      <c r="B150" s="289"/>
      <c r="C150" s="289"/>
      <c r="D150" s="289"/>
      <c r="E150" s="289"/>
      <c r="F150" s="289"/>
      <c r="G150" s="299"/>
      <c r="H150" s="302"/>
      <c r="I150" t="s">
        <v>1016</v>
      </c>
      <c r="J150"/>
      <c r="K150"/>
      <c r="L150"/>
      <c r="M150"/>
      <c r="N150" s="1"/>
    </row>
    <row r="151" spans="1:14" ht="14.25" customHeight="1">
      <c r="A151" s="718"/>
      <c r="C151" s="289"/>
      <c r="D151" s="289"/>
      <c r="E151" s="421"/>
      <c r="F151" s="421"/>
      <c r="G151" s="421"/>
      <c r="H151" s="298"/>
      <c r="I151" t="s">
        <v>1017</v>
      </c>
      <c r="J151"/>
      <c r="K151"/>
      <c r="L151"/>
      <c r="M151"/>
      <c r="N151" s="1"/>
    </row>
    <row r="152" spans="1:14" ht="14.25" customHeight="1">
      <c r="A152" s="551" t="s">
        <v>751</v>
      </c>
      <c r="B152" s="469" t="s">
        <v>993</v>
      </c>
      <c r="C152" s="289"/>
      <c r="D152" s="269" t="s">
        <v>1062</v>
      </c>
      <c r="E152" s="289"/>
      <c r="F152" s="289"/>
      <c r="G152" s="421"/>
      <c r="H152" s="298"/>
      <c r="I152" t="s">
        <v>1018</v>
      </c>
      <c r="J152"/>
      <c r="K152"/>
      <c r="L152"/>
      <c r="M152"/>
      <c r="N152" s="1"/>
    </row>
    <row r="153" spans="1:14" ht="14.25" customHeight="1">
      <c r="A153" s="133" t="s">
        <v>1081</v>
      </c>
      <c r="B153" s="133" t="s">
        <v>460</v>
      </c>
      <c r="C153" s="289"/>
      <c r="D153" s="133" t="s">
        <v>1063</v>
      </c>
      <c r="F153" s="312">
        <f>+IF(A153="UFH",G139/344)+IF(A153="radiators",0)</f>
        <v>0</v>
      </c>
      <c r="G153" s="289" t="s">
        <v>527</v>
      </c>
      <c r="H153" s="298"/>
      <c r="I153" t="s">
        <v>1019</v>
      </c>
      <c r="J153"/>
      <c r="K153"/>
      <c r="L153"/>
      <c r="M153"/>
      <c r="N153" s="1"/>
    </row>
    <row r="154" spans="1:14" ht="14.25" customHeight="1">
      <c r="C154" s="289"/>
      <c r="D154" s="289"/>
      <c r="E154" s="289"/>
      <c r="F154" s="289"/>
      <c r="G154" s="421"/>
      <c r="H154" s="298"/>
      <c r="I154" t="s">
        <v>1020</v>
      </c>
      <c r="J154"/>
      <c r="K154"/>
      <c r="L154"/>
      <c r="M154"/>
      <c r="N154" s="1"/>
    </row>
    <row r="155" spans="1:14" ht="14.25" customHeight="1">
      <c r="A155" s="268"/>
      <c r="B155" s="289"/>
      <c r="C155" s="289"/>
      <c r="D155" s="289"/>
      <c r="E155" s="289"/>
      <c r="F155" s="301"/>
      <c r="G155" s="722" t="s">
        <v>553</v>
      </c>
      <c r="H155" s="264"/>
      <c r="I155" t="s">
        <v>1021</v>
      </c>
      <c r="J155"/>
      <c r="K155"/>
      <c r="L155"/>
      <c r="M155"/>
      <c r="N155" s="1"/>
    </row>
    <row r="156" spans="1:14" ht="14.25" customHeight="1">
      <c r="A156" s="468" t="s">
        <v>245</v>
      </c>
      <c r="B156" s="469" t="s">
        <v>126</v>
      </c>
      <c r="C156" s="289"/>
      <c r="D156" s="469" t="s">
        <v>14</v>
      </c>
      <c r="E156" s="469" t="s">
        <v>246</v>
      </c>
      <c r="F156" s="469" t="s">
        <v>15</v>
      </c>
      <c r="G156" s="723"/>
      <c r="H156" s="298"/>
      <c r="I156" t="s">
        <v>1047</v>
      </c>
      <c r="J156"/>
      <c r="K156"/>
      <c r="L156"/>
      <c r="M156"/>
      <c r="N156" s="1"/>
    </row>
    <row r="157" spans="1:14" ht="14.25" customHeight="1">
      <c r="A157" s="23">
        <v>0</v>
      </c>
      <c r="B157" s="11">
        <v>0</v>
      </c>
      <c r="C157" s="289"/>
      <c r="D157" s="11" t="s">
        <v>832</v>
      </c>
      <c r="E157" s="312">
        <f>A157*B157*1.05*(+IF(D157="SC_type11",0.000764)+IF(D157="DC_type22",0.001421)+IF(D157="DP+type21",0.001121))*('Data Entry Sheet'!$I$28/(B136+30))</f>
        <v>0</v>
      </c>
      <c r="F157" s="428">
        <f>+IF(A153="Radiators",((E157/G139)-1),"UFH")</f>
        <v>-1</v>
      </c>
      <c r="G157" s="309">
        <f>IF(A153="Radiators",(((-1*F157)*(B136-'Data Entry Sheet'!$D$32))+'Data Entry Sheet'!$D$32),-10)</f>
        <v>18</v>
      </c>
      <c r="H157" s="303" t="s">
        <v>53</v>
      </c>
      <c r="I157" t="s">
        <v>1022</v>
      </c>
      <c r="J157"/>
      <c r="K157"/>
      <c r="L157"/>
      <c r="M157"/>
      <c r="N157" s="1"/>
    </row>
    <row r="158" spans="1:14" ht="14.25" customHeight="1">
      <c r="A158" s="273"/>
      <c r="C158" s="289"/>
      <c r="D158" s="289"/>
      <c r="E158" s="289"/>
      <c r="F158" s="439" t="s">
        <v>199</v>
      </c>
      <c r="G158" s="440" t="e">
        <f>B136-#REF!</f>
        <v>#REF!</v>
      </c>
      <c r="H158" s="298"/>
      <c r="I158"/>
      <c r="J158"/>
      <c r="K158"/>
      <c r="L158"/>
      <c r="M158"/>
      <c r="N158" s="1"/>
    </row>
    <row r="159" spans="1:14" ht="14.25" customHeight="1">
      <c r="A159" s="273" t="s">
        <v>552</v>
      </c>
      <c r="B159" s="289"/>
      <c r="C159" s="289"/>
      <c r="D159" s="289"/>
      <c r="E159" s="289"/>
      <c r="F159" s="289"/>
      <c r="G159" s="309">
        <f>'Data Entry Sheet'!$I$29*G139</f>
        <v>975.39213014354084</v>
      </c>
      <c r="H159" s="298" t="s">
        <v>10</v>
      </c>
      <c r="M159" s="1"/>
      <c r="N159" s="1"/>
    </row>
    <row r="160" spans="1:14" ht="14.25" customHeight="1">
      <c r="A160" s="273" t="s">
        <v>551</v>
      </c>
      <c r="B160" s="289"/>
      <c r="C160" s="289"/>
      <c r="D160" s="308"/>
      <c r="E160" s="289"/>
      <c r="F160" s="289"/>
      <c r="G160" s="422"/>
      <c r="H160" s="298"/>
      <c r="M160" s="1"/>
      <c r="N160" s="1"/>
    </row>
    <row r="161" spans="1:14" ht="14.25" customHeight="1">
      <c r="A161" s="273"/>
      <c r="B161" s="289"/>
      <c r="C161" s="289"/>
      <c r="D161" s="308"/>
      <c r="E161" s="289"/>
      <c r="F161" s="289"/>
      <c r="G161" s="422"/>
      <c r="H161" s="298"/>
      <c r="M161" s="1"/>
      <c r="N161" s="1"/>
    </row>
    <row r="162" spans="1:14" ht="14.25" customHeight="1">
      <c r="A162" s="468" t="s">
        <v>550</v>
      </c>
      <c r="B162" s="469" t="s">
        <v>549</v>
      </c>
      <c r="C162" s="469"/>
      <c r="D162" s="469" t="s">
        <v>14</v>
      </c>
      <c r="E162" s="469"/>
      <c r="F162" s="469"/>
      <c r="G162" s="470"/>
      <c r="H162" s="471"/>
      <c r="M162" s="1"/>
      <c r="N162" s="1"/>
    </row>
    <row r="163" spans="1:14" ht="14.25" customHeight="1">
      <c r="A163" s="315">
        <f>A157</f>
        <v>0</v>
      </c>
      <c r="B163" s="316" t="e">
        <f>G139/(A157*0.001421)*(30/('Data Entry Sheet'!$I$28-B136))</f>
        <v>#DIV/0!</v>
      </c>
      <c r="C163" s="289"/>
      <c r="D163" s="316" t="s">
        <v>548</v>
      </c>
      <c r="E163" s="289"/>
      <c r="F163" s="289"/>
      <c r="G163" s="470"/>
      <c r="H163" s="471"/>
      <c r="M163" s="1"/>
      <c r="N163" s="1"/>
    </row>
    <row r="164" spans="1:14" s="17" customFormat="1" ht="12.75" customHeight="1" thickBot="1">
      <c r="A164" s="472"/>
      <c r="B164" s="306"/>
      <c r="C164" s="306"/>
      <c r="D164" s="306"/>
      <c r="E164" s="306"/>
      <c r="F164" s="306"/>
      <c r="G164" s="423"/>
      <c r="H164" s="304"/>
      <c r="I164" s="1"/>
      <c r="J164" s="1"/>
      <c r="K164" s="1"/>
      <c r="L164" s="1"/>
      <c r="M164" s="1"/>
      <c r="N164" s="1"/>
    </row>
    <row r="165" spans="1:14" ht="14.25" customHeight="1" thickBot="1">
      <c r="M165" s="1"/>
      <c r="N165" s="1"/>
    </row>
    <row r="166" spans="1:14" ht="14.25" customHeight="1">
      <c r="A166" s="719" t="s">
        <v>70</v>
      </c>
      <c r="B166" s="292"/>
      <c r="C166" s="293"/>
      <c r="D166" s="293"/>
      <c r="E166" s="293"/>
      <c r="F166" s="294"/>
      <c r="G166" s="419"/>
      <c r="H166" s="295"/>
      <c r="M166" s="1"/>
      <c r="N166" s="1"/>
    </row>
    <row r="167" spans="1:14" ht="12.75" customHeight="1">
      <c r="A167" s="720"/>
      <c r="B167" s="13" t="s">
        <v>1178</v>
      </c>
      <c r="C167" s="269"/>
      <c r="D167" s="299"/>
      <c r="E167" s="269"/>
      <c r="F167" s="269"/>
      <c r="G167" s="516"/>
      <c r="H167" s="264"/>
      <c r="M167" s="1"/>
      <c r="N167" s="1"/>
    </row>
    <row r="168" spans="1:14" ht="14.25" customHeight="1">
      <c r="A168" s="273" t="s">
        <v>568</v>
      </c>
      <c r="B168" s="14">
        <v>18</v>
      </c>
      <c r="C168" s="397"/>
      <c r="D168" s="516" t="s">
        <v>567</v>
      </c>
      <c r="E168" s="516" t="s">
        <v>9</v>
      </c>
      <c r="F168" s="296"/>
      <c r="G168" s="297" t="s">
        <v>566</v>
      </c>
      <c r="H168" s="298"/>
      <c r="M168" s="1"/>
      <c r="N168" s="1"/>
    </row>
    <row r="169" spans="1:14" ht="14.25" customHeight="1">
      <c r="A169" s="273" t="s">
        <v>565</v>
      </c>
      <c r="B169" s="14">
        <v>2.4</v>
      </c>
      <c r="C169" s="397"/>
      <c r="D169" s="269"/>
      <c r="E169" s="516"/>
      <c r="F169" s="296"/>
      <c r="G169" s="516"/>
      <c r="H169" s="298"/>
      <c r="M169" s="1"/>
      <c r="N169" s="1"/>
    </row>
    <row r="170" spans="1:14" ht="14.25" customHeight="1">
      <c r="A170" s="273" t="s">
        <v>564</v>
      </c>
      <c r="B170" s="15">
        <v>3.4</v>
      </c>
      <c r="C170" s="397"/>
      <c r="D170" s="269"/>
      <c r="E170" s="269"/>
      <c r="F170" s="296"/>
      <c r="G170" s="516"/>
      <c r="H170" s="298"/>
      <c r="M170" s="1"/>
      <c r="N170" s="1"/>
    </row>
    <row r="171" spans="1:14" ht="14.25" customHeight="1">
      <c r="A171" s="272" t="s">
        <v>563</v>
      </c>
      <c r="B171" s="604" t="s">
        <v>1064</v>
      </c>
      <c r="C171" s="269"/>
      <c r="D171" s="464">
        <f>VLOOKUP(B171,$I$23:$J$49,2,FALSE)</f>
        <v>2.11</v>
      </c>
      <c r="E171" s="311">
        <f>(((B169)*B170)-B172)*(D171+0.15)*(B168-'Data Entry Sheet'!$D$32)</f>
        <v>341.07919999999996</v>
      </c>
      <c r="F171" s="299" t="s">
        <v>10</v>
      </c>
      <c r="G171" s="309">
        <f>SUM(E171:E180)*((B169+81)/83.6)</f>
        <v>625.60295311004791</v>
      </c>
      <c r="H171" s="264"/>
      <c r="M171" s="1"/>
      <c r="N171" s="1"/>
    </row>
    <row r="172" spans="1:14" ht="14.25" customHeight="1" thickBot="1">
      <c r="A172" s="290" t="s">
        <v>562</v>
      </c>
      <c r="B172" s="15">
        <v>1.3</v>
      </c>
      <c r="C172" s="269"/>
      <c r="D172" s="397"/>
      <c r="E172" s="289"/>
      <c r="F172" s="299"/>
      <c r="G172" s="297" t="s">
        <v>243</v>
      </c>
      <c r="H172" s="298"/>
      <c r="M172" s="1"/>
      <c r="N172" s="1"/>
    </row>
    <row r="173" spans="1:14" ht="14.25" customHeight="1" thickBot="1">
      <c r="A173" s="290" t="s">
        <v>561</v>
      </c>
      <c r="B173" s="604" t="s">
        <v>1064</v>
      </c>
      <c r="C173" s="269"/>
      <c r="D173" s="464">
        <f>VLOOKUP(B173,$I$4:$J$16,2,FALSE)</f>
        <v>2.8</v>
      </c>
      <c r="E173" s="311">
        <f>B172*(D173+0.15)*(B168-'Data Entry Sheet'!$D$32)</f>
        <v>84.37</v>
      </c>
      <c r="F173" s="299" t="s">
        <v>10</v>
      </c>
      <c r="G173" s="420">
        <f>G171/B177</f>
        <v>73.600347424711515</v>
      </c>
      <c r="H173" s="264"/>
      <c r="M173" s="1"/>
      <c r="N173" s="1"/>
    </row>
    <row r="174" spans="1:14" ht="14.25" customHeight="1">
      <c r="A174" s="290" t="s">
        <v>560</v>
      </c>
      <c r="B174" s="604">
        <v>8.5</v>
      </c>
      <c r="C174" s="397"/>
      <c r="D174" s="516"/>
      <c r="E174" s="305"/>
      <c r="F174" s="299"/>
      <c r="G174" s="470" t="s">
        <v>127</v>
      </c>
      <c r="H174" s="298"/>
      <c r="M174" s="1"/>
      <c r="N174" s="1"/>
    </row>
    <row r="175" spans="1:14" ht="14.25" customHeight="1">
      <c r="A175" s="290" t="s">
        <v>559</v>
      </c>
      <c r="B175" s="604">
        <v>0</v>
      </c>
      <c r="C175" s="397"/>
      <c r="D175" s="516"/>
      <c r="E175" s="305"/>
      <c r="F175" s="299"/>
      <c r="G175" s="309">
        <f>+IF(A185="UFH",(G171*0.71/85),((+IF(D189="dp+type21",14.5)+IF(D189="SC_type11",7.3)+IF(D189="SC",7)+IF(D189="DC_type22",14.5))*(A189*B189))/1000000)</f>
        <v>4.0149999999999997</v>
      </c>
      <c r="H175" s="298" t="s">
        <v>244</v>
      </c>
      <c r="M175" s="1"/>
      <c r="N175" s="1"/>
    </row>
    <row r="176" spans="1:14" ht="14.25" customHeight="1">
      <c r="A176" s="290" t="s">
        <v>558</v>
      </c>
      <c r="B176" s="604" t="s">
        <v>1064</v>
      </c>
      <c r="C176" s="269"/>
      <c r="D176" s="464">
        <f>VLOOKUP(B176,$I$81:$J$100,2,FALSE)</f>
        <v>0.2</v>
      </c>
      <c r="E176" s="311">
        <f>((B174-B175)*(D176+0.15)*(B168-'Data Entry Sheet'!D192))+(B175*(B168-'Data Entry Sheet'!$D$32)*2.8)</f>
        <v>53.55</v>
      </c>
      <c r="F176" s="299" t="s">
        <v>10</v>
      </c>
      <c r="G176" s="516"/>
      <c r="H176" s="298"/>
      <c r="M176" s="1"/>
      <c r="N176" s="1"/>
    </row>
    <row r="177" spans="1:14" ht="14.25" customHeight="1">
      <c r="A177" s="290" t="s">
        <v>557</v>
      </c>
      <c r="B177" s="604">
        <v>8.5</v>
      </c>
      <c r="C177" s="397"/>
      <c r="D177" s="305"/>
      <c r="E177" s="305"/>
      <c r="F177" s="300"/>
      <c r="G177" s="516"/>
      <c r="H177" s="298"/>
      <c r="M177" s="1"/>
      <c r="N177" s="1"/>
    </row>
    <row r="178" spans="1:14" ht="14.25" customHeight="1">
      <c r="A178" s="290" t="s">
        <v>556</v>
      </c>
      <c r="B178" s="604" t="s">
        <v>93</v>
      </c>
      <c r="C178" s="269"/>
      <c r="D178" s="464">
        <f>VLOOKUP(B178,$I$54:$J$75,2,FALSE)</f>
        <v>-0.15</v>
      </c>
      <c r="E178" s="311">
        <f>B177*(D178+0.15)*(B168-( IF(B178="suspended wood ",'Data Entry Sheet'!$D$32,'Data Entry Sheet'!$D$33)))</f>
        <v>0</v>
      </c>
      <c r="F178" s="299" t="s">
        <v>10</v>
      </c>
      <c r="G178" s="516"/>
      <c r="H178" s="298"/>
      <c r="M178" s="1"/>
      <c r="N178" s="1"/>
    </row>
    <row r="179" spans="1:14" ht="14.25" customHeight="1">
      <c r="A179" s="290"/>
      <c r="B179" s="289"/>
      <c r="C179" s="516"/>
      <c r="D179" s="307"/>
      <c r="E179" s="307"/>
      <c r="F179" s="299"/>
      <c r="G179" s="516"/>
      <c r="H179" s="298"/>
      <c r="M179" s="1"/>
      <c r="N179" s="1"/>
    </row>
    <row r="180" spans="1:14" ht="14.25" customHeight="1">
      <c r="A180" s="291" t="s">
        <v>555</v>
      </c>
      <c r="B180" s="604" t="s">
        <v>64</v>
      </c>
      <c r="C180" s="269"/>
      <c r="D180" s="464">
        <f>VLOOKUP(B180,$I$113:J283,2,FALSE)</f>
        <v>1</v>
      </c>
      <c r="E180" s="311">
        <f>(B168-'Data Entry Sheet'!$D$32)*0.33*(B177*B169)*D180</f>
        <v>148.10400000000001</v>
      </c>
      <c r="F180" s="299" t="s">
        <v>10</v>
      </c>
      <c r="G180" s="516"/>
      <c r="H180" s="298"/>
      <c r="M180" s="1"/>
      <c r="N180" s="1"/>
    </row>
    <row r="181" spans="1:14" ht="14.25" customHeight="1">
      <c r="A181" s="268"/>
      <c r="B181" s="289"/>
      <c r="C181" s="289"/>
      <c r="D181" s="289"/>
      <c r="E181" s="289"/>
      <c r="F181" s="301"/>
      <c r="G181" s="421"/>
      <c r="H181" s="264"/>
      <c r="M181" s="1"/>
      <c r="N181" s="1"/>
    </row>
    <row r="182" spans="1:14" ht="14.25" customHeight="1">
      <c r="A182" s="718" t="s">
        <v>554</v>
      </c>
      <c r="B182" s="289"/>
      <c r="C182" s="289"/>
      <c r="D182" s="289"/>
      <c r="E182" s="289"/>
      <c r="F182" s="289"/>
      <c r="G182" s="299"/>
      <c r="H182" s="302"/>
      <c r="M182" s="1"/>
      <c r="N182" s="1"/>
    </row>
    <row r="183" spans="1:14" ht="14.25" customHeight="1">
      <c r="A183" s="718"/>
      <c r="C183" s="289"/>
      <c r="D183" s="289"/>
      <c r="E183" s="421"/>
      <c r="F183" s="421"/>
      <c r="G183" s="421"/>
      <c r="H183" s="298"/>
      <c r="M183" s="1"/>
      <c r="N183" s="1"/>
    </row>
    <row r="184" spans="1:14" ht="14.25" customHeight="1">
      <c r="A184" s="551" t="s">
        <v>751</v>
      </c>
      <c r="B184" s="469" t="s">
        <v>993</v>
      </c>
      <c r="C184" s="289"/>
      <c r="D184" s="269" t="s">
        <v>1062</v>
      </c>
      <c r="E184" s="289"/>
      <c r="H184" s="298"/>
      <c r="M184" s="1"/>
      <c r="N184" s="1"/>
    </row>
    <row r="185" spans="1:14" ht="14.25" customHeight="1">
      <c r="A185" s="133" t="s">
        <v>1081</v>
      </c>
      <c r="B185" s="133" t="s">
        <v>460</v>
      </c>
      <c r="C185" s="289"/>
      <c r="D185" s="133" t="s">
        <v>1063</v>
      </c>
      <c r="F185" s="312">
        <f>+IF(A185="UFH",G171/344)+IF(A185="radiators",0)</f>
        <v>0</v>
      </c>
      <c r="G185" s="289" t="s">
        <v>527</v>
      </c>
      <c r="H185" s="298"/>
      <c r="M185" s="1"/>
      <c r="N185" s="1"/>
    </row>
    <row r="186" spans="1:14" ht="14.25" customHeight="1">
      <c r="C186" s="289"/>
      <c r="D186" s="289"/>
      <c r="E186" s="289"/>
      <c r="F186" s="289"/>
      <c r="G186" s="421"/>
      <c r="H186" s="298"/>
      <c r="M186" s="1"/>
      <c r="N186" s="1"/>
    </row>
    <row r="187" spans="1:14" ht="14.25" customHeight="1">
      <c r="A187" s="268"/>
      <c r="B187" s="289"/>
      <c r="C187" s="289"/>
      <c r="D187" s="289"/>
      <c r="E187" s="289"/>
      <c r="F187" s="301"/>
      <c r="G187" s="722" t="s">
        <v>553</v>
      </c>
      <c r="H187" s="264"/>
      <c r="M187" s="1"/>
      <c r="N187" s="1"/>
    </row>
    <row r="188" spans="1:14" ht="14.25" customHeight="1">
      <c r="A188" s="468" t="s">
        <v>245</v>
      </c>
      <c r="B188" s="469" t="s">
        <v>126</v>
      </c>
      <c r="C188" s="289"/>
      <c r="D188" s="469" t="s">
        <v>14</v>
      </c>
      <c r="E188" s="469" t="s">
        <v>246</v>
      </c>
      <c r="F188" s="469" t="s">
        <v>15</v>
      </c>
      <c r="G188" s="723"/>
      <c r="H188" s="298"/>
      <c r="M188" s="1"/>
      <c r="N188" s="1"/>
    </row>
    <row r="189" spans="1:14" s="17" customFormat="1" ht="14.25" customHeight="1">
      <c r="A189" s="23">
        <v>500</v>
      </c>
      <c r="B189" s="11">
        <v>1100</v>
      </c>
      <c r="C189" s="289"/>
      <c r="D189" s="11" t="s">
        <v>832</v>
      </c>
      <c r="E189" s="312">
        <f>A189*B189*1.05*(+IF(D189="SC_type11",0.000764)+IF(D189="DC_type22",0.001421)+IF(D189="DP+type21",0.001121))*('Data Entry Sheet'!$I$28/(B168+30))</f>
        <v>459.59375000000006</v>
      </c>
      <c r="F189" s="428">
        <f>+IF(A185="Radiators",((E189/G171)-1),"UFH")</f>
        <v>-0.26535872678472738</v>
      </c>
      <c r="G189" s="309">
        <f>IF(A185="Radiators",(((-1*F189)*(B168-'Data Entry Sheet'!$D$32))+'Data Entry Sheet'!$D$32),-10)</f>
        <v>1.8378919892640022</v>
      </c>
      <c r="H189" s="303" t="s">
        <v>53</v>
      </c>
      <c r="I189" s="1"/>
      <c r="J189" s="1"/>
      <c r="K189" s="1"/>
      <c r="L189" s="1"/>
      <c r="M189" s="1"/>
      <c r="N189" s="1"/>
    </row>
    <row r="190" spans="1:14" ht="14.25" customHeight="1">
      <c r="A190" s="273"/>
      <c r="C190" s="289"/>
      <c r="D190" s="289"/>
      <c r="E190" s="289"/>
      <c r="F190" s="439" t="s">
        <v>199</v>
      </c>
      <c r="G190" s="440" t="e">
        <f>B168-#REF!</f>
        <v>#REF!</v>
      </c>
      <c r="H190" s="298"/>
      <c r="M190" s="1"/>
      <c r="N190" s="1"/>
    </row>
    <row r="191" spans="1:14" ht="14.25" customHeight="1">
      <c r="A191" s="273" t="s">
        <v>552</v>
      </c>
      <c r="B191" s="289"/>
      <c r="C191" s="289"/>
      <c r="D191" s="289"/>
      <c r="E191" s="289"/>
      <c r="F191" s="289"/>
      <c r="G191" s="309">
        <f>'Data Entry Sheet'!$I$29*G171</f>
        <v>1501.4470874641149</v>
      </c>
      <c r="H191" s="298" t="s">
        <v>10</v>
      </c>
      <c r="M191" s="1"/>
      <c r="N191" s="1"/>
    </row>
    <row r="192" spans="1:14" ht="14.25" customHeight="1">
      <c r="A192" s="273" t="s">
        <v>551</v>
      </c>
      <c r="B192" s="289"/>
      <c r="C192" s="289"/>
      <c r="D192" s="308"/>
      <c r="E192" s="289"/>
      <c r="F192" s="289"/>
      <c r="G192" s="422"/>
      <c r="H192" s="298"/>
      <c r="M192" s="1"/>
      <c r="N192" s="1"/>
    </row>
    <row r="193" spans="1:14" ht="14.25" customHeight="1">
      <c r="A193" s="273"/>
      <c r="B193" s="289"/>
      <c r="C193" s="289"/>
      <c r="D193" s="308"/>
      <c r="E193" s="289"/>
      <c r="F193" s="289"/>
      <c r="G193" s="422"/>
      <c r="H193" s="298"/>
      <c r="M193" s="1"/>
      <c r="N193" s="1"/>
    </row>
    <row r="194" spans="1:14" ht="14.25" customHeight="1">
      <c r="A194" s="468" t="s">
        <v>550</v>
      </c>
      <c r="B194" s="469" t="s">
        <v>549</v>
      </c>
      <c r="C194" s="469"/>
      <c r="D194" s="469" t="s">
        <v>14</v>
      </c>
      <c r="E194" s="469"/>
      <c r="F194" s="469"/>
      <c r="G194" s="470"/>
      <c r="H194" s="471"/>
      <c r="M194" s="1"/>
      <c r="N194" s="1"/>
    </row>
    <row r="195" spans="1:14" ht="14.25" customHeight="1">
      <c r="A195" s="315">
        <f>A189</f>
        <v>500</v>
      </c>
      <c r="B195" s="316">
        <f>G171/(A189*0.001421)*(30/('Data Entry Sheet'!$I$28-B168))</f>
        <v>825.47891420220958</v>
      </c>
      <c r="C195" s="289"/>
      <c r="D195" s="316" t="s">
        <v>548</v>
      </c>
      <c r="E195" s="289"/>
      <c r="F195" s="289"/>
      <c r="G195" s="470"/>
      <c r="H195" s="471"/>
      <c r="M195" s="1"/>
      <c r="N195" s="1"/>
    </row>
    <row r="196" spans="1:14" ht="13.5" thickBot="1">
      <c r="A196" s="472"/>
      <c r="B196" s="306"/>
      <c r="C196" s="306"/>
      <c r="D196" s="306"/>
      <c r="E196" s="306"/>
      <c r="F196" s="306"/>
      <c r="G196" s="423"/>
      <c r="H196" s="304"/>
      <c r="M196" s="1"/>
      <c r="N196" s="1"/>
    </row>
    <row r="197" spans="1:14" ht="14.25" customHeight="1" thickBot="1">
      <c r="M197" s="1"/>
      <c r="N197" s="1"/>
    </row>
    <row r="198" spans="1:14" ht="14.25" customHeight="1">
      <c r="A198" s="719" t="s">
        <v>70</v>
      </c>
      <c r="B198" s="292"/>
      <c r="C198" s="293"/>
      <c r="D198" s="293"/>
      <c r="E198" s="293"/>
      <c r="F198" s="294"/>
      <c r="G198" s="419"/>
      <c r="H198" s="295"/>
      <c r="M198" s="1"/>
      <c r="N198" s="1"/>
    </row>
    <row r="199" spans="1:14" ht="14.25" customHeight="1">
      <c r="A199" s="720"/>
      <c r="B199" s="13" t="s">
        <v>1179</v>
      </c>
      <c r="C199" s="269"/>
      <c r="D199" s="299"/>
      <c r="E199" s="269"/>
      <c r="F199" s="269"/>
      <c r="G199" s="516"/>
      <c r="H199" s="264"/>
      <c r="M199" s="1"/>
      <c r="N199" s="1"/>
    </row>
    <row r="200" spans="1:14" ht="14.25" customHeight="1">
      <c r="A200" s="273" t="s">
        <v>568</v>
      </c>
      <c r="B200" s="14">
        <v>18</v>
      </c>
      <c r="C200" s="397"/>
      <c r="D200" s="516" t="s">
        <v>567</v>
      </c>
      <c r="E200" s="516" t="s">
        <v>9</v>
      </c>
      <c r="F200" s="296"/>
      <c r="G200" s="297" t="s">
        <v>566</v>
      </c>
      <c r="H200" s="298"/>
      <c r="M200" s="1"/>
      <c r="N200" s="1"/>
    </row>
    <row r="201" spans="1:14" ht="14.25" customHeight="1">
      <c r="A201" s="273" t="s">
        <v>565</v>
      </c>
      <c r="B201" s="14">
        <v>2.4</v>
      </c>
      <c r="C201" s="397"/>
      <c r="D201" s="269"/>
      <c r="E201" s="516"/>
      <c r="F201" s="296"/>
      <c r="G201" s="516"/>
      <c r="H201" s="298"/>
      <c r="M201" s="1"/>
      <c r="N201" s="1"/>
    </row>
    <row r="202" spans="1:14" ht="14.25" customHeight="1">
      <c r="A202" s="273" t="s">
        <v>564</v>
      </c>
      <c r="B202" s="15">
        <v>4.3</v>
      </c>
      <c r="C202" s="397"/>
      <c r="D202" s="269"/>
      <c r="E202" s="269"/>
      <c r="F202" s="296"/>
      <c r="G202" s="516"/>
      <c r="H202" s="298"/>
      <c r="M202" s="1"/>
      <c r="N202" s="1"/>
    </row>
    <row r="203" spans="1:14" ht="14.25" customHeight="1">
      <c r="A203" s="272" t="s">
        <v>563</v>
      </c>
      <c r="B203" s="604" t="s">
        <v>1064</v>
      </c>
      <c r="C203" s="269"/>
      <c r="D203" s="464">
        <f>VLOOKUP(B203,$I$23:$J$49,2,FALSE)</f>
        <v>2.11</v>
      </c>
      <c r="E203" s="311">
        <f>(((B201)*B202)-B204)*(D203+0.15)*(B200-'Data Entry Sheet'!$D$32)</f>
        <v>463.39039999999989</v>
      </c>
      <c r="F203" s="299" t="s">
        <v>10</v>
      </c>
      <c r="G203" s="309">
        <f>SUM(E203:E212)*((B201+81)/83.6)</f>
        <v>787.36623157894735</v>
      </c>
      <c r="H203" s="264"/>
      <c r="M203" s="1"/>
      <c r="N203" s="1"/>
    </row>
    <row r="204" spans="1:14" ht="14.25" customHeight="1" thickBot="1">
      <c r="A204" s="290" t="s">
        <v>562</v>
      </c>
      <c r="B204" s="15">
        <v>1</v>
      </c>
      <c r="C204" s="269"/>
      <c r="D204" s="397"/>
      <c r="E204" s="289"/>
      <c r="F204" s="299"/>
      <c r="G204" s="297" t="s">
        <v>243</v>
      </c>
      <c r="H204" s="298"/>
      <c r="M204" s="1"/>
      <c r="N204" s="1"/>
    </row>
    <row r="205" spans="1:14" ht="14.25" customHeight="1" thickBot="1">
      <c r="A205" s="290" t="s">
        <v>561</v>
      </c>
      <c r="B205" s="604" t="s">
        <v>1064</v>
      </c>
      <c r="C205" s="269"/>
      <c r="D205" s="464">
        <f>VLOOKUP(B205,$I$4:$J$16,2,FALSE)</f>
        <v>2.8</v>
      </c>
      <c r="E205" s="311">
        <f>B204*(D205+0.15)*(B200-'Data Entry Sheet'!$D$32)</f>
        <v>64.899999999999991</v>
      </c>
      <c r="F205" s="299" t="s">
        <v>10</v>
      </c>
      <c r="G205" s="420">
        <f>G203/B209</f>
        <v>71.578748325358845</v>
      </c>
      <c r="H205" s="264"/>
      <c r="M205" s="1"/>
      <c r="N205" s="1"/>
    </row>
    <row r="206" spans="1:14" ht="14.25" customHeight="1">
      <c r="A206" s="290" t="s">
        <v>560</v>
      </c>
      <c r="B206" s="604">
        <v>11</v>
      </c>
      <c r="C206" s="397"/>
      <c r="D206" s="516"/>
      <c r="E206" s="305"/>
      <c r="F206" s="299"/>
      <c r="G206" s="470" t="s">
        <v>127</v>
      </c>
      <c r="H206" s="298"/>
      <c r="M206" s="1"/>
      <c r="N206" s="1"/>
    </row>
    <row r="207" spans="1:14" ht="14.25" customHeight="1">
      <c r="A207" s="290" t="s">
        <v>559</v>
      </c>
      <c r="B207" s="604">
        <v>0</v>
      </c>
      <c r="C207" s="397"/>
      <c r="D207" s="516"/>
      <c r="E207" s="305"/>
      <c r="F207" s="299"/>
      <c r="G207" s="309">
        <f>+IF(A217="UFH",(G203*0.71/85),((+IF(D221="dp+type21",14.5)+IF(D221="SC_type11",7.3)+IF(D221="SC",7)+IF(D221="DC_type22",14.5))*(A221*B221))/1000000)</f>
        <v>2.6280000000000001</v>
      </c>
      <c r="H207" s="298" t="s">
        <v>244</v>
      </c>
      <c r="M207" s="1"/>
      <c r="N207" s="1"/>
    </row>
    <row r="208" spans="1:14" ht="14.25" customHeight="1">
      <c r="A208" s="290" t="s">
        <v>558</v>
      </c>
      <c r="B208" s="604" t="s">
        <v>1064</v>
      </c>
      <c r="C208" s="269"/>
      <c r="D208" s="464">
        <f>VLOOKUP(B208,$I$81:$J$100,2,FALSE)</f>
        <v>0.2</v>
      </c>
      <c r="E208" s="311">
        <f>((B206-B207)*(D208+0.15)*(B200-'Data Entry Sheet'!D224))+(B207*(B200-'Data Entry Sheet'!$D$32)*2.8)</f>
        <v>69.3</v>
      </c>
      <c r="F208" s="299" t="s">
        <v>10</v>
      </c>
      <c r="G208" s="516"/>
      <c r="H208" s="298"/>
      <c r="M208" s="1"/>
      <c r="N208" s="1"/>
    </row>
    <row r="209" spans="1:14" ht="14.25" customHeight="1">
      <c r="A209" s="290" t="s">
        <v>557</v>
      </c>
      <c r="B209" s="604">
        <v>11</v>
      </c>
      <c r="C209" s="397"/>
      <c r="D209" s="305"/>
      <c r="E209" s="305"/>
      <c r="F209" s="300"/>
      <c r="G209" s="516"/>
      <c r="H209" s="298"/>
      <c r="M209" s="1"/>
      <c r="N209" s="1"/>
    </row>
    <row r="210" spans="1:14" ht="14.25" customHeight="1">
      <c r="A210" s="290" t="s">
        <v>556</v>
      </c>
      <c r="B210" s="604" t="s">
        <v>93</v>
      </c>
      <c r="C210" s="269"/>
      <c r="D210" s="464">
        <f>VLOOKUP(B210,$I$54:$J$75,2,FALSE)</f>
        <v>-0.15</v>
      </c>
      <c r="E210" s="311">
        <f>B209*(D210+0.15)*(B200-( IF(B210="suspended wood ",'Data Entry Sheet'!$D$32,'Data Entry Sheet'!$D$33)))</f>
        <v>0</v>
      </c>
      <c r="F210" s="299" t="s">
        <v>10</v>
      </c>
      <c r="G210" s="516"/>
      <c r="H210" s="298"/>
      <c r="M210" s="1"/>
      <c r="N210" s="1"/>
    </row>
    <row r="211" spans="1:14" ht="14.25" customHeight="1">
      <c r="A211" s="290"/>
      <c r="B211" s="289"/>
      <c r="C211" s="516"/>
      <c r="D211" s="307"/>
      <c r="E211" s="307"/>
      <c r="F211" s="299"/>
      <c r="G211" s="516"/>
      <c r="H211" s="298"/>
      <c r="M211" s="1"/>
      <c r="N211" s="1"/>
    </row>
    <row r="212" spans="1:14" ht="14.25" customHeight="1">
      <c r="A212" s="291" t="s">
        <v>555</v>
      </c>
      <c r="B212" s="604" t="s">
        <v>64</v>
      </c>
      <c r="C212" s="269"/>
      <c r="D212" s="464">
        <f>VLOOKUP(B212,$I$113:J315,2,FALSE)</f>
        <v>1</v>
      </c>
      <c r="E212" s="311">
        <f>(B200-'Data Entry Sheet'!$D$32)*0.33*(B209*B201)*D212</f>
        <v>191.66400000000002</v>
      </c>
      <c r="F212" s="299" t="s">
        <v>10</v>
      </c>
      <c r="G212" s="516"/>
      <c r="H212" s="298"/>
      <c r="M212" s="1"/>
      <c r="N212" s="1"/>
    </row>
    <row r="213" spans="1:14" ht="14.25" customHeight="1">
      <c r="A213" s="268"/>
      <c r="B213" s="289"/>
      <c r="C213" s="289"/>
      <c r="D213" s="289"/>
      <c r="E213" s="289"/>
      <c r="F213" s="301"/>
      <c r="G213" s="421"/>
      <c r="H213" s="264"/>
      <c r="M213" s="1"/>
      <c r="N213" s="1"/>
    </row>
    <row r="214" spans="1:14" s="17" customFormat="1" ht="14.25" customHeight="1">
      <c r="A214" s="718" t="s">
        <v>554</v>
      </c>
      <c r="B214" s="289"/>
      <c r="C214" s="289"/>
      <c r="D214" s="289"/>
      <c r="E214" s="289"/>
      <c r="F214" s="289"/>
      <c r="G214" s="299"/>
      <c r="H214" s="302"/>
      <c r="I214" s="1"/>
      <c r="J214" s="1"/>
      <c r="K214" s="1"/>
      <c r="L214" s="1"/>
      <c r="M214" s="1"/>
      <c r="N214" s="1"/>
    </row>
    <row r="215" spans="1:14" ht="14.25" customHeight="1">
      <c r="A215" s="718"/>
      <c r="C215" s="289"/>
      <c r="D215" s="289"/>
      <c r="E215" s="421"/>
      <c r="F215" s="421"/>
      <c r="G215" s="421"/>
      <c r="H215" s="298"/>
      <c r="M215" s="1"/>
      <c r="N215" s="1"/>
    </row>
    <row r="216" spans="1:14" ht="14.25" customHeight="1">
      <c r="A216" s="551" t="s">
        <v>751</v>
      </c>
      <c r="B216" s="469" t="s">
        <v>993</v>
      </c>
      <c r="C216" s="289"/>
      <c r="D216" s="269" t="s">
        <v>1062</v>
      </c>
      <c r="E216" s="289"/>
      <c r="F216" s="289"/>
      <c r="G216" s="421"/>
      <c r="H216" s="298"/>
      <c r="M216" s="1"/>
      <c r="N216" s="1"/>
    </row>
    <row r="217" spans="1:14" ht="14.25" customHeight="1">
      <c r="A217" s="133" t="s">
        <v>1081</v>
      </c>
      <c r="B217" s="133" t="s">
        <v>460</v>
      </c>
      <c r="C217" s="289"/>
      <c r="D217" s="133" t="s">
        <v>1063</v>
      </c>
      <c r="F217" s="312">
        <f>+IF(A217="UFH",G203/344)+IF(A217="radiators",0)</f>
        <v>0</v>
      </c>
      <c r="G217" s="289" t="s">
        <v>527</v>
      </c>
      <c r="H217" s="298"/>
      <c r="M217" s="1"/>
      <c r="N217" s="1"/>
    </row>
    <row r="218" spans="1:14" ht="14.25" customHeight="1">
      <c r="C218" s="289"/>
      <c r="D218" s="289"/>
      <c r="E218" s="289"/>
      <c r="F218" s="289"/>
      <c r="G218" s="421"/>
      <c r="H218" s="298"/>
      <c r="M218" s="1"/>
      <c r="N218" s="1"/>
    </row>
    <row r="219" spans="1:14" ht="14.25" customHeight="1">
      <c r="A219" s="268"/>
      <c r="B219" s="289"/>
      <c r="C219" s="289"/>
      <c r="D219" s="289"/>
      <c r="E219" s="289"/>
      <c r="F219" s="301"/>
      <c r="G219" s="722" t="s">
        <v>553</v>
      </c>
      <c r="H219" s="264"/>
      <c r="M219" s="1"/>
      <c r="N219" s="1"/>
    </row>
    <row r="220" spans="1:14" ht="14.25" customHeight="1">
      <c r="A220" s="468" t="s">
        <v>245</v>
      </c>
      <c r="B220" s="469" t="s">
        <v>126</v>
      </c>
      <c r="C220" s="289"/>
      <c r="D220" s="469" t="s">
        <v>14</v>
      </c>
      <c r="E220" s="469" t="s">
        <v>246</v>
      </c>
      <c r="F220" s="469" t="s">
        <v>15</v>
      </c>
      <c r="G220" s="723"/>
      <c r="H220" s="298"/>
      <c r="M220" s="1"/>
      <c r="N220" s="1"/>
    </row>
    <row r="221" spans="1:14" ht="14.25" customHeight="1">
      <c r="A221" s="23">
        <v>300</v>
      </c>
      <c r="B221" s="11">
        <v>1200</v>
      </c>
      <c r="C221" s="289"/>
      <c r="D221" s="11" t="s">
        <v>832</v>
      </c>
      <c r="E221" s="312">
        <f>A221*B221*1.05*(+IF(D221="SC_type11",0.000764)+IF(D221="DC_type22",0.001421)+IF(D221="DP+type21",0.001121))*('Data Entry Sheet'!$I$28/(B200+30))</f>
        <v>300.82500000000005</v>
      </c>
      <c r="F221" s="428">
        <f>+IF(A217="Radiators",((E221/G203)-1),"UFH")</f>
        <v>-0.61793510067514612</v>
      </c>
      <c r="G221" s="309">
        <f>IF(A217="Radiators",(((-1*F221)*(B200-'Data Entry Sheet'!$D$32))+'Data Entry Sheet'!$D$32),-10)</f>
        <v>9.5945722148532155</v>
      </c>
      <c r="H221" s="303" t="s">
        <v>53</v>
      </c>
      <c r="M221" s="1"/>
      <c r="N221" s="1"/>
    </row>
    <row r="222" spans="1:14" ht="14.25" customHeight="1">
      <c r="A222" s="273"/>
      <c r="C222" s="289"/>
      <c r="D222" s="289"/>
      <c r="E222" s="289"/>
      <c r="F222" s="439" t="s">
        <v>199</v>
      </c>
      <c r="G222" s="440" t="e">
        <f>B200-#REF!</f>
        <v>#REF!</v>
      </c>
      <c r="H222" s="298"/>
      <c r="M222" s="1"/>
      <c r="N222" s="1"/>
    </row>
    <row r="223" spans="1:14" ht="14.25" customHeight="1">
      <c r="A223" s="273" t="s">
        <v>552</v>
      </c>
      <c r="B223" s="289"/>
      <c r="C223" s="289"/>
      <c r="D223" s="289"/>
      <c r="E223" s="289"/>
      <c r="F223" s="289"/>
      <c r="G223" s="309">
        <f>'Data Entry Sheet'!$I$29*G203</f>
        <v>1889.6789557894735</v>
      </c>
      <c r="H223" s="298" t="s">
        <v>10</v>
      </c>
      <c r="M223" s="1"/>
      <c r="N223" s="1"/>
    </row>
    <row r="224" spans="1:14" ht="12.75" customHeight="1">
      <c r="A224" s="273" t="s">
        <v>551</v>
      </c>
      <c r="B224" s="289"/>
      <c r="C224" s="289"/>
      <c r="D224" s="308"/>
      <c r="E224" s="289"/>
      <c r="F224" s="289"/>
      <c r="G224" s="422"/>
      <c r="H224" s="298"/>
      <c r="M224" s="1"/>
      <c r="N224" s="1"/>
    </row>
    <row r="225" spans="1:14" ht="12.75">
      <c r="A225" s="273"/>
      <c r="B225" s="289"/>
      <c r="C225" s="289"/>
      <c r="D225" s="308"/>
      <c r="E225" s="289"/>
      <c r="F225" s="289"/>
      <c r="G225" s="422"/>
      <c r="H225" s="298"/>
      <c r="M225" s="1"/>
      <c r="N225" s="1"/>
    </row>
    <row r="226" spans="1:14" ht="14.25" customHeight="1">
      <c r="A226" s="468" t="s">
        <v>550</v>
      </c>
      <c r="B226" s="469" t="s">
        <v>549</v>
      </c>
      <c r="C226" s="469"/>
      <c r="D226" s="469" t="s">
        <v>14</v>
      </c>
      <c r="E226" s="469"/>
      <c r="F226" s="469"/>
      <c r="G226" s="470"/>
      <c r="H226" s="471"/>
      <c r="M226" s="1"/>
      <c r="N226" s="1"/>
    </row>
    <row r="227" spans="1:14" ht="14.25" customHeight="1">
      <c r="A227" s="315">
        <f>A221</f>
        <v>300</v>
      </c>
      <c r="B227" s="316">
        <f>G203/(A221*0.001421)*(30/('Data Entry Sheet'!$I$28-B200))</f>
        <v>1731.540797807326</v>
      </c>
      <c r="C227" s="289"/>
      <c r="D227" s="316" t="s">
        <v>548</v>
      </c>
      <c r="E227" s="289"/>
      <c r="F227" s="289"/>
      <c r="G227" s="470"/>
      <c r="H227" s="471"/>
      <c r="M227" s="1"/>
      <c r="N227" s="1"/>
    </row>
    <row r="228" spans="1:14" ht="14.25" customHeight="1" thickBot="1">
      <c r="A228" s="472"/>
      <c r="B228" s="306"/>
      <c r="C228" s="306"/>
      <c r="D228" s="306"/>
      <c r="E228" s="306"/>
      <c r="F228" s="306"/>
      <c r="G228" s="423"/>
      <c r="H228" s="304"/>
      <c r="M228" s="1"/>
      <c r="N228" s="1"/>
    </row>
    <row r="229" spans="1:14" ht="14.25" customHeight="1" thickBot="1">
      <c r="M229" s="1"/>
      <c r="N229" s="1"/>
    </row>
    <row r="230" spans="1:14" ht="14.25" customHeight="1">
      <c r="A230" s="719" t="s">
        <v>70</v>
      </c>
      <c r="B230" s="292"/>
      <c r="C230" s="293"/>
      <c r="D230" s="293"/>
      <c r="E230" s="293"/>
      <c r="F230" s="294"/>
      <c r="G230" s="419"/>
      <c r="H230" s="295"/>
      <c r="M230" s="1"/>
      <c r="N230" s="1"/>
    </row>
    <row r="231" spans="1:14" ht="14.25" customHeight="1">
      <c r="A231" s="720"/>
      <c r="B231" s="13" t="s">
        <v>1180</v>
      </c>
      <c r="C231" s="269"/>
      <c r="D231" s="299"/>
      <c r="E231" s="269"/>
      <c r="F231" s="269"/>
      <c r="G231" s="516"/>
      <c r="H231" s="264"/>
      <c r="M231" s="1"/>
      <c r="N231" s="1"/>
    </row>
    <row r="232" spans="1:14" ht="14.25" customHeight="1">
      <c r="A232" s="273" t="s">
        <v>568</v>
      </c>
      <c r="B232" s="14">
        <v>18</v>
      </c>
      <c r="C232" s="397"/>
      <c r="D232" s="516" t="s">
        <v>567</v>
      </c>
      <c r="E232" s="516" t="s">
        <v>9</v>
      </c>
      <c r="F232" s="296"/>
      <c r="G232" s="297" t="s">
        <v>566</v>
      </c>
      <c r="H232" s="298"/>
      <c r="M232" s="1"/>
      <c r="N232" s="1"/>
    </row>
    <row r="233" spans="1:14" ht="14.25" customHeight="1">
      <c r="A233" s="273" t="s">
        <v>565</v>
      </c>
      <c r="B233" s="14">
        <v>2.4</v>
      </c>
      <c r="C233" s="397"/>
      <c r="D233" s="269"/>
      <c r="E233" s="516"/>
      <c r="F233" s="296"/>
      <c r="G233" s="516"/>
      <c r="H233" s="298"/>
      <c r="M233" s="1"/>
      <c r="N233" s="1"/>
    </row>
    <row r="234" spans="1:14" ht="14.25" customHeight="1">
      <c r="A234" s="273" t="s">
        <v>564</v>
      </c>
      <c r="B234" s="15">
        <v>7.2</v>
      </c>
      <c r="C234" s="397"/>
      <c r="D234" s="269"/>
      <c r="E234" s="269"/>
      <c r="F234" s="296"/>
      <c r="G234" s="516"/>
      <c r="H234" s="298"/>
      <c r="M234" s="1"/>
      <c r="N234" s="1"/>
    </row>
    <row r="235" spans="1:14" ht="14.25" customHeight="1">
      <c r="A235" s="272" t="s">
        <v>563</v>
      </c>
      <c r="B235" s="604" t="s">
        <v>241</v>
      </c>
      <c r="C235" s="269"/>
      <c r="D235" s="464">
        <f>VLOOKUP(B235,$I$23:$J$49,2,FALSE)</f>
        <v>0.42</v>
      </c>
      <c r="E235" s="311">
        <f>(((B233)*B234)-B236)*(D235+0.15)*(B232-'Data Entry Sheet'!$D$32)</f>
        <v>194.11919999999998</v>
      </c>
      <c r="F235" s="299" t="s">
        <v>10</v>
      </c>
      <c r="G235" s="309">
        <f>SUM(E235:E244)*((B233+81)/83.6)</f>
        <v>594.20225454545459</v>
      </c>
      <c r="H235" s="264"/>
      <c r="M235" s="1"/>
      <c r="N235" s="1"/>
    </row>
    <row r="236" spans="1:14" ht="14.25" customHeight="1" thickBot="1">
      <c r="A236" s="290" t="s">
        <v>562</v>
      </c>
      <c r="B236" s="15">
        <v>1.8</v>
      </c>
      <c r="C236" s="269"/>
      <c r="D236" s="397"/>
      <c r="E236" s="289"/>
      <c r="F236" s="299"/>
      <c r="G236" s="297" t="s">
        <v>243</v>
      </c>
      <c r="H236" s="298"/>
      <c r="M236" s="1"/>
      <c r="N236" s="1"/>
    </row>
    <row r="237" spans="1:14" ht="14.25" customHeight="1" thickBot="1">
      <c r="A237" s="290" t="s">
        <v>561</v>
      </c>
      <c r="B237" s="604" t="s">
        <v>1064</v>
      </c>
      <c r="C237" s="269"/>
      <c r="D237" s="464">
        <f>VLOOKUP(B237,$I$4:$J$16,2,FALSE)</f>
        <v>2.8</v>
      </c>
      <c r="E237" s="311">
        <f>B236*(D237+0.15)*(B232-'Data Entry Sheet'!$D$32)</f>
        <v>116.82</v>
      </c>
      <c r="F237" s="299" t="s">
        <v>10</v>
      </c>
      <c r="G237" s="420">
        <f>G235/B241</f>
        <v>49.516854545454549</v>
      </c>
      <c r="H237" s="264"/>
      <c r="M237" s="1"/>
      <c r="N237" s="1"/>
    </row>
    <row r="238" spans="1:14" ht="14.25" customHeight="1">
      <c r="A238" s="290" t="s">
        <v>560</v>
      </c>
      <c r="B238" s="604">
        <v>12</v>
      </c>
      <c r="C238" s="397"/>
      <c r="D238" s="516"/>
      <c r="E238" s="305"/>
      <c r="F238" s="299"/>
      <c r="G238" s="470" t="s">
        <v>127</v>
      </c>
      <c r="H238" s="298"/>
      <c r="M238" s="1"/>
      <c r="N238" s="1"/>
    </row>
    <row r="239" spans="1:14" s="17" customFormat="1" ht="14.25" customHeight="1">
      <c r="A239" s="290" t="s">
        <v>559</v>
      </c>
      <c r="B239" s="604">
        <v>0</v>
      </c>
      <c r="C239" s="397"/>
      <c r="D239" s="516"/>
      <c r="E239" s="305"/>
      <c r="F239" s="299"/>
      <c r="G239" s="309">
        <f>+IF(A249="UFH",(G235*0.71/85),((+IF(D253="dp+type21",14.5)+IF(D253="SC_type11",7.3)+IF(D253="SC",7)+IF(D253="DC_type22",14.5))*(A253*B253))/1000000)</f>
        <v>2.6280000000000001</v>
      </c>
      <c r="H239" s="298" t="s">
        <v>244</v>
      </c>
      <c r="I239" s="1"/>
      <c r="J239" s="1"/>
      <c r="K239" s="1"/>
      <c r="L239" s="1"/>
      <c r="M239" s="1"/>
      <c r="N239" s="1"/>
    </row>
    <row r="240" spans="1:14" ht="14.25" customHeight="1">
      <c r="A240" s="290" t="s">
        <v>558</v>
      </c>
      <c r="B240" s="604" t="s">
        <v>1064</v>
      </c>
      <c r="C240" s="269"/>
      <c r="D240" s="464">
        <f>VLOOKUP(B240,$I$81:$J$100,2,FALSE)</f>
        <v>0.2</v>
      </c>
      <c r="E240" s="311">
        <f>((B238-B239)*(D240+0.15)*(B232-'Data Entry Sheet'!D256))+(B239*(B232-'Data Entry Sheet'!$D$32)*2.8)</f>
        <v>75.599999999999994</v>
      </c>
      <c r="F240" s="299" t="s">
        <v>10</v>
      </c>
      <c r="G240" s="516"/>
      <c r="H240" s="298"/>
      <c r="M240" s="1"/>
      <c r="N240" s="1"/>
    </row>
    <row r="241" spans="1:14" ht="14.25" customHeight="1">
      <c r="A241" s="290" t="s">
        <v>557</v>
      </c>
      <c r="B241" s="604">
        <v>12</v>
      </c>
      <c r="C241" s="397"/>
      <c r="D241" s="305"/>
      <c r="E241" s="305"/>
      <c r="F241" s="300"/>
      <c r="G241" s="516"/>
      <c r="H241" s="298"/>
      <c r="M241" s="1"/>
      <c r="N241" s="1"/>
    </row>
    <row r="242" spans="1:14" ht="14.25" customHeight="1">
      <c r="A242" s="290" t="s">
        <v>556</v>
      </c>
      <c r="B242" s="604" t="s">
        <v>93</v>
      </c>
      <c r="C242" s="269"/>
      <c r="D242" s="464">
        <f>VLOOKUP(B242,$I$54:$J$75,2,FALSE)</f>
        <v>-0.15</v>
      </c>
      <c r="E242" s="311">
        <f>B241*(D242+0.15)*(B232-( IF(B242="suspended wood ",'Data Entry Sheet'!$D$32,'Data Entry Sheet'!$D$33)))</f>
        <v>0</v>
      </c>
      <c r="F242" s="299" t="s">
        <v>10</v>
      </c>
      <c r="G242" s="516"/>
      <c r="H242" s="298"/>
      <c r="M242" s="1"/>
      <c r="N242" s="1"/>
    </row>
    <row r="243" spans="1:14" ht="14.25" customHeight="1">
      <c r="A243" s="290"/>
      <c r="B243" s="289"/>
      <c r="C243" s="516"/>
      <c r="D243" s="307"/>
      <c r="E243" s="307"/>
      <c r="F243" s="299"/>
      <c r="G243" s="516"/>
      <c r="H243" s="298"/>
      <c r="M243" s="1"/>
      <c r="N243" s="1"/>
    </row>
    <row r="244" spans="1:14" ht="14.25" customHeight="1">
      <c r="A244" s="291" t="s">
        <v>555</v>
      </c>
      <c r="B244" s="604" t="s">
        <v>64</v>
      </c>
      <c r="C244" s="269"/>
      <c r="D244" s="464">
        <f>VLOOKUP(B244,$I$113:J347,2,FALSE)</f>
        <v>1</v>
      </c>
      <c r="E244" s="311">
        <f>(B232-'Data Entry Sheet'!$D$32)*0.33*(B241*B233)*D244</f>
        <v>209.08799999999999</v>
      </c>
      <c r="F244" s="299" t="s">
        <v>10</v>
      </c>
      <c r="G244" s="516"/>
      <c r="H244" s="298"/>
      <c r="M244" s="1"/>
      <c r="N244" s="1"/>
    </row>
    <row r="245" spans="1:14" ht="14.25" customHeight="1">
      <c r="A245" s="268"/>
      <c r="B245" s="289"/>
      <c r="C245" s="289"/>
      <c r="D245" s="289"/>
      <c r="E245" s="289"/>
      <c r="F245" s="301"/>
      <c r="G245" s="421"/>
      <c r="H245" s="264"/>
      <c r="M245" s="1"/>
      <c r="N245" s="1"/>
    </row>
    <row r="246" spans="1:14" ht="14.25" customHeight="1">
      <c r="A246" s="718" t="s">
        <v>554</v>
      </c>
      <c r="B246" s="289"/>
      <c r="C246" s="289"/>
      <c r="D246" s="289"/>
      <c r="E246" s="289"/>
      <c r="F246" s="289"/>
      <c r="G246" s="299"/>
      <c r="H246" s="302"/>
      <c r="M246" s="1"/>
      <c r="N246" s="1"/>
    </row>
    <row r="247" spans="1:14" ht="14.25" customHeight="1">
      <c r="A247" s="718"/>
      <c r="C247" s="289"/>
      <c r="D247" s="289"/>
      <c r="E247" s="421"/>
      <c r="F247" s="421"/>
      <c r="G247" s="421"/>
      <c r="H247" s="298"/>
      <c r="M247" s="1"/>
      <c r="N247" s="1"/>
    </row>
    <row r="248" spans="1:14" ht="14.25" customHeight="1">
      <c r="A248" s="551" t="s">
        <v>751</v>
      </c>
      <c r="B248" s="469" t="s">
        <v>993</v>
      </c>
      <c r="C248" s="289"/>
      <c r="D248" s="269" t="s">
        <v>1062</v>
      </c>
      <c r="E248" s="289"/>
      <c r="F248" s="289"/>
      <c r="G248" s="421"/>
      <c r="H248" s="298"/>
      <c r="M248" s="1"/>
      <c r="N248" s="1"/>
    </row>
    <row r="249" spans="1:14" ht="14.25" customHeight="1">
      <c r="A249" s="133" t="s">
        <v>1081</v>
      </c>
      <c r="B249" s="133" t="s">
        <v>460</v>
      </c>
      <c r="C249" s="289"/>
      <c r="D249" s="133" t="s">
        <v>1063</v>
      </c>
      <c r="F249" s="312">
        <f>+IF(A249="UFH",G235/344)+IF(A249="radiators",0)</f>
        <v>0</v>
      </c>
      <c r="G249" s="289" t="s">
        <v>527</v>
      </c>
      <c r="H249" s="298"/>
      <c r="M249" s="1"/>
      <c r="N249" s="1"/>
    </row>
    <row r="250" spans="1:14" ht="14.25" customHeight="1">
      <c r="C250" s="289"/>
      <c r="D250" s="289"/>
      <c r="E250" s="289"/>
      <c r="F250" s="289"/>
      <c r="G250" s="421"/>
      <c r="H250" s="298"/>
      <c r="M250" s="1"/>
      <c r="N250" s="1"/>
    </row>
    <row r="251" spans="1:14" ht="14.25" customHeight="1">
      <c r="A251" s="268"/>
      <c r="B251" s="289"/>
      <c r="C251" s="289"/>
      <c r="D251" s="289"/>
      <c r="E251" s="289"/>
      <c r="F251" s="301"/>
      <c r="G251" s="722" t="s">
        <v>553</v>
      </c>
      <c r="H251" s="264"/>
      <c r="M251" s="1"/>
      <c r="N251" s="1"/>
    </row>
    <row r="252" spans="1:14" ht="14.25" customHeight="1">
      <c r="A252" s="468" t="s">
        <v>245</v>
      </c>
      <c r="B252" s="469" t="s">
        <v>126</v>
      </c>
      <c r="C252" s="289"/>
      <c r="D252" s="469" t="s">
        <v>14</v>
      </c>
      <c r="E252" s="469" t="s">
        <v>246</v>
      </c>
      <c r="F252" s="469" t="s">
        <v>15</v>
      </c>
      <c r="G252" s="723"/>
      <c r="H252" s="298"/>
      <c r="M252" s="1"/>
      <c r="N252" s="1"/>
    </row>
    <row r="253" spans="1:14" ht="14.25" customHeight="1">
      <c r="A253" s="23">
        <v>300</v>
      </c>
      <c r="B253" s="11">
        <v>1200</v>
      </c>
      <c r="C253" s="289"/>
      <c r="D253" s="11" t="s">
        <v>832</v>
      </c>
      <c r="E253" s="312">
        <f>A253*B253*1.05*(+IF(D253="SC_type11",0.000764)+IF(D253="DC_type22",0.001421)+IF(D253="DP+type21",0.001121))*('Data Entry Sheet'!$I$28/(B232+30))</f>
        <v>300.82500000000005</v>
      </c>
      <c r="F253" s="428">
        <f>+IF(A249="Radiators",((E253/G235)-1),"UFH")</f>
        <v>-0.49373298788621833</v>
      </c>
      <c r="G253" s="309">
        <f>IF(A249="Radiators",(((-1*F253)*(B232-'Data Entry Sheet'!$D$32))+'Data Entry Sheet'!$D$32),-10)</f>
        <v>6.8621257334968035</v>
      </c>
      <c r="H253" s="303" t="s">
        <v>53</v>
      </c>
      <c r="M253" s="1"/>
      <c r="N253" s="1"/>
    </row>
    <row r="254" spans="1:14" ht="12.75">
      <c r="A254" s="273"/>
      <c r="C254" s="289"/>
      <c r="D254" s="289"/>
      <c r="E254" s="289"/>
      <c r="F254" s="439" t="s">
        <v>199</v>
      </c>
      <c r="G254" s="440" t="e">
        <f>B232-#REF!</f>
        <v>#REF!</v>
      </c>
      <c r="H254" s="298"/>
      <c r="M254" s="1"/>
      <c r="N254" s="1"/>
    </row>
    <row r="255" spans="1:14" ht="14.25" customHeight="1">
      <c r="A255" s="273" t="s">
        <v>552</v>
      </c>
      <c r="B255" s="289"/>
      <c r="C255" s="289"/>
      <c r="D255" s="289"/>
      <c r="E255" s="289"/>
      <c r="F255" s="289"/>
      <c r="G255" s="309">
        <f>'Data Entry Sheet'!$I$29*G235</f>
        <v>1426.085410909091</v>
      </c>
      <c r="H255" s="298" t="s">
        <v>10</v>
      </c>
      <c r="M255" s="1"/>
      <c r="N255" s="1"/>
    </row>
    <row r="256" spans="1:14" ht="14.25" customHeight="1">
      <c r="A256" s="273" t="s">
        <v>551</v>
      </c>
      <c r="B256" s="289"/>
      <c r="C256" s="289"/>
      <c r="D256" s="308"/>
      <c r="E256" s="289"/>
      <c r="F256" s="289"/>
      <c r="G256" s="422"/>
      <c r="H256" s="298"/>
      <c r="M256" s="1"/>
      <c r="N256" s="1"/>
    </row>
    <row r="257" spans="1:14" ht="14.25" customHeight="1">
      <c r="A257" s="273"/>
      <c r="B257" s="289"/>
      <c r="C257" s="289"/>
      <c r="D257" s="308"/>
      <c r="E257" s="289"/>
      <c r="F257" s="289"/>
      <c r="G257" s="422"/>
      <c r="H257" s="298"/>
      <c r="M257" s="1"/>
      <c r="N257" s="1"/>
    </row>
    <row r="258" spans="1:14" ht="14.25" customHeight="1">
      <c r="A258" s="468" t="s">
        <v>550</v>
      </c>
      <c r="B258" s="469" t="s">
        <v>549</v>
      </c>
      <c r="C258" s="469"/>
      <c r="D258" s="469" t="s">
        <v>14</v>
      </c>
      <c r="E258" s="469"/>
      <c r="F258" s="469"/>
      <c r="G258" s="470"/>
      <c r="H258" s="471"/>
      <c r="M258" s="1"/>
      <c r="N258" s="1"/>
    </row>
    <row r="259" spans="1:14" ht="14.25" customHeight="1">
      <c r="A259" s="315">
        <f>A253</f>
        <v>300</v>
      </c>
      <c r="B259" s="316">
        <f>G235/(A253*0.001421)*(30/('Data Entry Sheet'!$I$28-B232))</f>
        <v>1306.7431706224809</v>
      </c>
      <c r="C259" s="289"/>
      <c r="D259" s="316" t="s">
        <v>548</v>
      </c>
      <c r="E259" s="289"/>
      <c r="F259" s="289"/>
      <c r="G259" s="470"/>
      <c r="H259" s="471"/>
      <c r="M259" s="1"/>
      <c r="N259" s="1"/>
    </row>
    <row r="260" spans="1:14" ht="14.25" customHeight="1" thickBot="1">
      <c r="A260" s="472"/>
      <c r="B260" s="306"/>
      <c r="C260" s="306"/>
      <c r="D260" s="306"/>
      <c r="E260" s="306"/>
      <c r="F260" s="306"/>
      <c r="G260" s="423"/>
      <c r="H260" s="304"/>
      <c r="M260" s="1"/>
      <c r="N260" s="1"/>
    </row>
    <row r="261" spans="1:14" ht="14.25" customHeight="1" thickBot="1">
      <c r="M261" s="1"/>
      <c r="N261" s="1"/>
    </row>
    <row r="262" spans="1:14" ht="14.25" customHeight="1">
      <c r="A262" s="719" t="s">
        <v>70</v>
      </c>
      <c r="B262" s="292"/>
      <c r="C262" s="293"/>
      <c r="D262" s="293"/>
      <c r="E262" s="293"/>
      <c r="F262" s="294"/>
      <c r="G262" s="419"/>
      <c r="H262" s="295"/>
      <c r="M262" s="1"/>
      <c r="N262" s="1"/>
    </row>
    <row r="263" spans="1:14" ht="14.25" customHeight="1">
      <c r="A263" s="720"/>
      <c r="B263" s="13" t="s">
        <v>1181</v>
      </c>
      <c r="C263" s="269"/>
      <c r="D263" s="299"/>
      <c r="E263" s="269"/>
      <c r="F263" s="269"/>
      <c r="G263" s="516"/>
      <c r="H263" s="264"/>
      <c r="M263" s="1"/>
      <c r="N263" s="1"/>
    </row>
    <row r="264" spans="1:14" s="17" customFormat="1" ht="14.25" customHeight="1">
      <c r="A264" s="273" t="s">
        <v>568</v>
      </c>
      <c r="B264" s="14">
        <v>21</v>
      </c>
      <c r="C264" s="397"/>
      <c r="D264" s="516" t="s">
        <v>567</v>
      </c>
      <c r="E264" s="516" t="s">
        <v>9</v>
      </c>
      <c r="F264" s="296"/>
      <c r="G264" s="297" t="s">
        <v>566</v>
      </c>
      <c r="H264" s="298"/>
      <c r="I264" s="1"/>
      <c r="J264" s="1"/>
      <c r="K264" s="1"/>
      <c r="L264" s="1"/>
      <c r="M264" s="1"/>
      <c r="N264" s="1"/>
    </row>
    <row r="265" spans="1:14" ht="14.25" customHeight="1">
      <c r="A265" s="273" t="s">
        <v>565</v>
      </c>
      <c r="B265" s="14">
        <v>2.4</v>
      </c>
      <c r="C265" s="397"/>
      <c r="D265" s="269"/>
      <c r="E265" s="516"/>
      <c r="F265" s="296"/>
      <c r="G265" s="516"/>
      <c r="H265" s="298"/>
      <c r="M265" s="1"/>
      <c r="N265" s="1"/>
    </row>
    <row r="266" spans="1:14" ht="14.25" customHeight="1">
      <c r="A266" s="273" t="s">
        <v>564</v>
      </c>
      <c r="B266" s="15">
        <v>4.2</v>
      </c>
      <c r="C266" s="397"/>
      <c r="D266" s="269"/>
      <c r="E266" s="269"/>
      <c r="F266" s="296"/>
      <c r="G266" s="516"/>
      <c r="H266" s="298"/>
      <c r="M266" s="1"/>
      <c r="N266" s="1"/>
    </row>
    <row r="267" spans="1:14" ht="14.25" customHeight="1">
      <c r="A267" s="272" t="s">
        <v>563</v>
      </c>
      <c r="B267" s="604" t="s">
        <v>241</v>
      </c>
      <c r="C267" s="269"/>
      <c r="D267" s="464">
        <f>VLOOKUP(B267,$I$23:$J$49,2,FALSE)</f>
        <v>0.42</v>
      </c>
      <c r="E267" s="311">
        <f>(((B265)*B266)-B268)*(D267+0.15)*(B264-'Data Entry Sheet'!$D$32)</f>
        <v>126.54</v>
      </c>
      <c r="F267" s="299" t="s">
        <v>10</v>
      </c>
      <c r="G267" s="309">
        <f>SUM(E267:E276)*((B265+81)/83.6)</f>
        <v>420.61133971291872</v>
      </c>
      <c r="H267" s="264"/>
      <c r="M267" s="1"/>
      <c r="N267" s="1"/>
    </row>
    <row r="268" spans="1:14" ht="14.25" customHeight="1" thickBot="1">
      <c r="A268" s="290" t="s">
        <v>562</v>
      </c>
      <c r="B268" s="15">
        <v>1.2</v>
      </c>
      <c r="C268" s="269"/>
      <c r="D268" s="397"/>
      <c r="E268" s="289"/>
      <c r="F268" s="299"/>
      <c r="G268" s="297" t="s">
        <v>243</v>
      </c>
      <c r="H268" s="298"/>
      <c r="M268" s="1"/>
      <c r="N268" s="1"/>
    </row>
    <row r="269" spans="1:14" ht="14.25" customHeight="1" thickBot="1">
      <c r="A269" s="290" t="s">
        <v>561</v>
      </c>
      <c r="B269" s="604" t="s">
        <v>1064</v>
      </c>
      <c r="C269" s="269"/>
      <c r="D269" s="464">
        <f>VLOOKUP(B269,$I$4:$J$16,2,FALSE)</f>
        <v>2.8</v>
      </c>
      <c r="E269" s="311">
        <f>B268*(D269+0.15)*(B264-'Data Entry Sheet'!$D$32)</f>
        <v>88.499999999999986</v>
      </c>
      <c r="F269" s="299" t="s">
        <v>10</v>
      </c>
      <c r="G269" s="420">
        <f>G267/B273</f>
        <v>95.593486298390616</v>
      </c>
      <c r="H269" s="264"/>
      <c r="M269" s="1"/>
      <c r="N269" s="1"/>
    </row>
    <row r="270" spans="1:14" ht="14.25" customHeight="1">
      <c r="A270" s="290" t="s">
        <v>560</v>
      </c>
      <c r="B270" s="604">
        <v>4.4000000000000004</v>
      </c>
      <c r="C270" s="397"/>
      <c r="D270" s="516"/>
      <c r="E270" s="305"/>
      <c r="F270" s="299"/>
      <c r="G270" s="470" t="s">
        <v>127</v>
      </c>
      <c r="H270" s="298"/>
      <c r="M270" s="1"/>
      <c r="N270" s="1"/>
    </row>
    <row r="271" spans="1:14" ht="14.25" customHeight="1">
      <c r="A271" s="290" t="s">
        <v>559</v>
      </c>
      <c r="B271" s="604">
        <v>0</v>
      </c>
      <c r="C271" s="397"/>
      <c r="D271" s="516"/>
      <c r="E271" s="305"/>
      <c r="F271" s="299"/>
      <c r="G271" s="309">
        <f>+IF(A281="UFH",(G267*0.71/85),((+IF(D285="dp+type21",14.5)+IF(D285="SC_type11",7.3)+IF(D285="SC",7)+IF(D285="DC_type22",14.5))*(A285*B285))/1000000)</f>
        <v>2.6280000000000001</v>
      </c>
      <c r="H271" s="298" t="s">
        <v>244</v>
      </c>
      <c r="M271" s="1"/>
      <c r="N271" s="1"/>
    </row>
    <row r="272" spans="1:14" ht="14.25" customHeight="1">
      <c r="A272" s="290" t="s">
        <v>558</v>
      </c>
      <c r="B272" s="604" t="s">
        <v>1064</v>
      </c>
      <c r="C272" s="269"/>
      <c r="D272" s="464">
        <f>VLOOKUP(B272,$I$81:$J$100,2,FALSE)</f>
        <v>0.2</v>
      </c>
      <c r="E272" s="311">
        <f>((B270-B271)*(D272+0.15)*(B264-'Data Entry Sheet'!D288))+(B271*(B264-'Data Entry Sheet'!$D$32)*2.8)</f>
        <v>32.340000000000003</v>
      </c>
      <c r="F272" s="299" t="s">
        <v>10</v>
      </c>
      <c r="G272" s="516"/>
      <c r="H272" s="298"/>
      <c r="M272" s="1"/>
      <c r="N272" s="1"/>
    </row>
    <row r="273" spans="1:14" ht="14.25" customHeight="1">
      <c r="A273" s="290" t="s">
        <v>557</v>
      </c>
      <c r="B273" s="604">
        <v>4.4000000000000004</v>
      </c>
      <c r="C273" s="397"/>
      <c r="D273" s="305"/>
      <c r="E273" s="305"/>
      <c r="F273" s="300"/>
      <c r="G273" s="516"/>
      <c r="H273" s="298"/>
      <c r="M273" s="1"/>
      <c r="N273" s="1"/>
    </row>
    <row r="274" spans="1:14" ht="14.25" customHeight="1">
      <c r="A274" s="290" t="s">
        <v>556</v>
      </c>
      <c r="B274" s="604" t="s">
        <v>93</v>
      </c>
      <c r="C274" s="269"/>
      <c r="D274" s="464">
        <f>VLOOKUP(B274,$I$54:$J$75,2,FALSE)</f>
        <v>-0.15</v>
      </c>
      <c r="E274" s="311">
        <f>B273*(D274+0.15)*(B264-( IF(B274="suspended wood ",'Data Entry Sheet'!$D$32,'Data Entry Sheet'!$D$33)))</f>
        <v>0</v>
      </c>
      <c r="F274" s="299" t="s">
        <v>10</v>
      </c>
      <c r="G274" s="516"/>
      <c r="H274" s="298"/>
      <c r="M274" s="1"/>
      <c r="N274" s="1"/>
    </row>
    <row r="275" spans="1:14" ht="14.25" customHeight="1">
      <c r="A275" s="290"/>
      <c r="B275" s="289"/>
      <c r="C275" s="516"/>
      <c r="D275" s="307"/>
      <c r="E275" s="307"/>
      <c r="F275" s="299"/>
      <c r="G275" s="516"/>
      <c r="H275" s="298"/>
      <c r="M275" s="1"/>
      <c r="N275" s="1"/>
    </row>
    <row r="276" spans="1:14" ht="14.25" customHeight="1">
      <c r="A276" s="291" t="s">
        <v>555</v>
      </c>
      <c r="B276" s="604" t="s">
        <v>60</v>
      </c>
      <c r="C276" s="269"/>
      <c r="D276" s="464">
        <f>VLOOKUP(B276,$I$113:J379,2,FALSE)</f>
        <v>2</v>
      </c>
      <c r="E276" s="311">
        <f>(B264-'Data Entry Sheet'!$D$32)*0.33*(B273*B265)*D276</f>
        <v>174.24</v>
      </c>
      <c r="F276" s="299" t="s">
        <v>10</v>
      </c>
      <c r="G276" s="516"/>
      <c r="H276" s="298"/>
      <c r="M276" s="1"/>
      <c r="N276" s="1"/>
    </row>
    <row r="277" spans="1:14" ht="14.25" customHeight="1">
      <c r="A277" s="268"/>
      <c r="B277" s="289"/>
      <c r="C277" s="289"/>
      <c r="D277" s="289"/>
      <c r="E277" s="289"/>
      <c r="F277" s="301"/>
      <c r="G277" s="421"/>
      <c r="H277" s="264"/>
      <c r="M277" s="1"/>
      <c r="N277" s="1"/>
    </row>
    <row r="278" spans="1:14" ht="14.25" customHeight="1">
      <c r="A278" s="718" t="s">
        <v>554</v>
      </c>
      <c r="B278" s="289"/>
      <c r="C278" s="289"/>
      <c r="D278" s="289"/>
      <c r="E278" s="289"/>
      <c r="F278" s="289"/>
      <c r="G278" s="299"/>
      <c r="H278" s="302"/>
      <c r="M278" s="1"/>
      <c r="N278" s="1"/>
    </row>
    <row r="279" spans="1:14" ht="14.25" customHeight="1">
      <c r="A279" s="718"/>
      <c r="C279" s="289"/>
      <c r="D279" s="289"/>
      <c r="E279" s="421"/>
      <c r="F279" s="421"/>
      <c r="G279" s="421"/>
      <c r="H279" s="298"/>
      <c r="M279" s="1"/>
      <c r="N279" s="1"/>
    </row>
    <row r="280" spans="1:14" ht="14.25" customHeight="1">
      <c r="A280" s="551" t="s">
        <v>751</v>
      </c>
      <c r="B280" s="469" t="s">
        <v>993</v>
      </c>
      <c r="C280" s="289"/>
      <c r="D280" s="269" t="s">
        <v>1062</v>
      </c>
      <c r="E280" s="289"/>
      <c r="F280" s="289"/>
      <c r="G280" s="421"/>
      <c r="H280" s="298"/>
      <c r="M280" s="1"/>
      <c r="N280" s="1"/>
    </row>
    <row r="281" spans="1:14" ht="14.25" customHeight="1">
      <c r="A281" s="133" t="s">
        <v>1081</v>
      </c>
      <c r="B281" s="133" t="s">
        <v>460</v>
      </c>
      <c r="C281" s="289"/>
      <c r="D281" s="133" t="s">
        <v>1063</v>
      </c>
      <c r="F281" s="312">
        <f>+IF(A281="UFH",G267/344)+IF(A281="radiators",0)</f>
        <v>0</v>
      </c>
      <c r="G281" s="289" t="s">
        <v>527</v>
      </c>
      <c r="H281" s="298"/>
      <c r="M281" s="1"/>
      <c r="N281" s="1"/>
    </row>
    <row r="282" spans="1:14" ht="14.25" customHeight="1">
      <c r="C282" s="289"/>
      <c r="D282" s="289"/>
      <c r="E282" s="289"/>
      <c r="F282" s="289"/>
      <c r="G282" s="421"/>
      <c r="H282" s="298"/>
      <c r="M282" s="1"/>
      <c r="N282" s="1"/>
    </row>
    <row r="283" spans="1:14" ht="23.25">
      <c r="A283" s="268"/>
      <c r="B283" s="289"/>
      <c r="C283" s="289"/>
      <c r="D283" s="289"/>
      <c r="E283" s="289"/>
      <c r="F283" s="301"/>
      <c r="G283" s="722" t="s">
        <v>553</v>
      </c>
      <c r="H283" s="264"/>
      <c r="M283" s="1"/>
      <c r="N283" s="1"/>
    </row>
    <row r="284" spans="1:14" ht="15" customHeight="1">
      <c r="A284" s="468" t="s">
        <v>245</v>
      </c>
      <c r="B284" s="469" t="s">
        <v>126</v>
      </c>
      <c r="C284" s="289"/>
      <c r="D284" s="469" t="s">
        <v>14</v>
      </c>
      <c r="E284" s="469" t="s">
        <v>246</v>
      </c>
      <c r="F284" s="469" t="s">
        <v>15</v>
      </c>
      <c r="G284" s="723"/>
      <c r="H284" s="298"/>
      <c r="M284" s="1"/>
      <c r="N284" s="1"/>
    </row>
    <row r="285" spans="1:14" ht="14.25" customHeight="1">
      <c r="A285" s="23">
        <v>300</v>
      </c>
      <c r="B285" s="11">
        <v>1200</v>
      </c>
      <c r="C285" s="289"/>
      <c r="D285" s="11" t="s">
        <v>832</v>
      </c>
      <c r="E285" s="312">
        <f>A285*B285*1.05*(+IF(D285="SC_type11",0.000764)+IF(D285="DC_type22",0.001421)+IF(D285="DP+type21",0.001121))*('Data Entry Sheet'!$I$28/(B264+30))</f>
        <v>283.12941176470588</v>
      </c>
      <c r="F285" s="428">
        <f>+IF(A281="Radiators",((E285/G267)-1),"UFH")</f>
        <v>-0.32686215269908991</v>
      </c>
      <c r="G285" s="309">
        <f>IF(A281="Radiators",(((-1*F285)*(B264-'Data Entry Sheet'!$D$32))+'Data Entry Sheet'!$D$32),-10)</f>
        <v>4.171553817477248</v>
      </c>
      <c r="H285" s="303" t="s">
        <v>53</v>
      </c>
      <c r="M285" s="1"/>
      <c r="N285" s="1"/>
    </row>
    <row r="286" spans="1:14" ht="14.25" customHeight="1">
      <c r="A286" s="273"/>
      <c r="C286" s="289"/>
      <c r="D286" s="289"/>
      <c r="E286" s="289"/>
      <c r="F286" s="439" t="s">
        <v>199</v>
      </c>
      <c r="G286" s="440" t="e">
        <f>B264-#REF!</f>
        <v>#REF!</v>
      </c>
      <c r="H286" s="298"/>
      <c r="M286" s="1"/>
      <c r="N286" s="1"/>
    </row>
    <row r="287" spans="1:14" ht="14.25" customHeight="1">
      <c r="A287" s="273" t="s">
        <v>552</v>
      </c>
      <c r="B287" s="289"/>
      <c r="C287" s="289"/>
      <c r="D287" s="289"/>
      <c r="E287" s="289"/>
      <c r="F287" s="289"/>
      <c r="G287" s="309">
        <f>'Data Entry Sheet'!$I$29*G267</f>
        <v>1009.4672153110049</v>
      </c>
      <c r="H287" s="298" t="s">
        <v>10</v>
      </c>
      <c r="M287" s="1"/>
      <c r="N287" s="1"/>
    </row>
    <row r="288" spans="1:14" ht="14.25" customHeight="1">
      <c r="A288" s="273" t="s">
        <v>551</v>
      </c>
      <c r="B288" s="289"/>
      <c r="C288" s="289"/>
      <c r="D288" s="308"/>
      <c r="E288" s="289"/>
      <c r="F288" s="289"/>
      <c r="G288" s="422"/>
      <c r="H288" s="298"/>
      <c r="M288" s="1"/>
      <c r="N288" s="1"/>
    </row>
    <row r="289" spans="1:14" s="17" customFormat="1" ht="14.25" customHeight="1">
      <c r="A289" s="273"/>
      <c r="B289" s="289"/>
      <c r="C289" s="289"/>
      <c r="D289" s="308"/>
      <c r="E289" s="289"/>
      <c r="F289" s="289"/>
      <c r="G289" s="422"/>
      <c r="H289" s="298"/>
      <c r="I289" s="1"/>
      <c r="J289" s="1"/>
      <c r="K289" s="1"/>
      <c r="L289" s="1"/>
      <c r="M289" s="1"/>
      <c r="N289" s="1"/>
    </row>
    <row r="290" spans="1:14" ht="14.25" customHeight="1">
      <c r="A290" s="468" t="s">
        <v>550</v>
      </c>
      <c r="B290" s="469" t="s">
        <v>549</v>
      </c>
      <c r="C290" s="469"/>
      <c r="D290" s="469" t="s">
        <v>14</v>
      </c>
      <c r="E290" s="469"/>
      <c r="F290" s="469"/>
      <c r="G290" s="470"/>
      <c r="H290" s="471"/>
      <c r="M290" s="1"/>
      <c r="N290" s="1"/>
    </row>
    <row r="291" spans="1:14" ht="14.25" customHeight="1">
      <c r="A291" s="315">
        <f>A285</f>
        <v>300</v>
      </c>
      <c r="B291" s="316">
        <f>G267/(A285*0.001421)*(30/('Data Entry Sheet'!$I$28-B264))</f>
        <v>1020.678346266395</v>
      </c>
      <c r="C291" s="289"/>
      <c r="D291" s="316" t="s">
        <v>548</v>
      </c>
      <c r="E291" s="289"/>
      <c r="F291" s="289"/>
      <c r="G291" s="470"/>
      <c r="H291" s="471"/>
      <c r="M291" s="1"/>
      <c r="N291" s="1"/>
    </row>
    <row r="292" spans="1:14" ht="14.25" customHeight="1" thickBot="1">
      <c r="A292" s="472"/>
      <c r="B292" s="306"/>
      <c r="C292" s="306"/>
      <c r="D292" s="306"/>
      <c r="E292" s="306"/>
      <c r="F292" s="306"/>
      <c r="G292" s="423"/>
      <c r="H292" s="304"/>
      <c r="M292" s="1"/>
      <c r="N292" s="1"/>
    </row>
    <row r="293" spans="1:14" ht="14.25" customHeight="1" thickBot="1">
      <c r="M293" s="1"/>
      <c r="N293" s="1"/>
    </row>
    <row r="294" spans="1:14" ht="14.25" customHeight="1">
      <c r="A294" s="719" t="s">
        <v>70</v>
      </c>
      <c r="B294" s="292"/>
      <c r="C294" s="293"/>
      <c r="D294" s="293"/>
      <c r="E294" s="293"/>
      <c r="F294" s="294"/>
      <c r="G294" s="419"/>
      <c r="H294" s="295"/>
      <c r="M294" s="1"/>
      <c r="N294" s="1"/>
    </row>
    <row r="295" spans="1:14" ht="14.25" customHeight="1">
      <c r="A295" s="720"/>
      <c r="B295" s="13" t="s">
        <v>435</v>
      </c>
      <c r="C295" s="269"/>
      <c r="D295" s="299"/>
      <c r="E295" s="269"/>
      <c r="F295" s="269"/>
      <c r="G295" s="516"/>
      <c r="H295" s="264"/>
      <c r="M295" s="1"/>
      <c r="N295" s="1"/>
    </row>
    <row r="296" spans="1:14" ht="14.25" customHeight="1">
      <c r="A296" s="273" t="s">
        <v>568</v>
      </c>
      <c r="B296" s="14">
        <v>21</v>
      </c>
      <c r="C296" s="397"/>
      <c r="D296" s="516" t="s">
        <v>567</v>
      </c>
      <c r="E296" s="516" t="s">
        <v>9</v>
      </c>
      <c r="F296" s="296"/>
      <c r="G296" s="297" t="s">
        <v>566</v>
      </c>
      <c r="H296" s="298"/>
      <c r="M296" s="1"/>
      <c r="N296" s="1"/>
    </row>
    <row r="297" spans="1:14" ht="14.25" customHeight="1">
      <c r="A297" s="273" t="s">
        <v>565</v>
      </c>
      <c r="B297" s="14">
        <v>2.4</v>
      </c>
      <c r="C297" s="397"/>
      <c r="D297" s="269"/>
      <c r="E297" s="516"/>
      <c r="F297" s="296"/>
      <c r="G297" s="516"/>
      <c r="H297" s="298"/>
      <c r="M297" s="1"/>
      <c r="N297" s="1"/>
    </row>
    <row r="298" spans="1:14" ht="14.25" customHeight="1">
      <c r="A298" s="273" t="s">
        <v>564</v>
      </c>
      <c r="B298" s="15">
        <v>0</v>
      </c>
      <c r="C298" s="397"/>
      <c r="D298" s="269"/>
      <c r="E298" s="269"/>
      <c r="F298" s="296"/>
      <c r="G298" s="516"/>
      <c r="H298" s="298"/>
      <c r="M298" s="1"/>
      <c r="N298" s="1"/>
    </row>
    <row r="299" spans="1:14" ht="14.25" customHeight="1">
      <c r="A299" s="272" t="s">
        <v>563</v>
      </c>
      <c r="B299" s="604" t="s">
        <v>1064</v>
      </c>
      <c r="C299" s="269"/>
      <c r="D299" s="464">
        <f>VLOOKUP(B299,$I$23:$J$49,2,FALSE)</f>
        <v>2.11</v>
      </c>
      <c r="E299" s="311">
        <f>(((B297)*B298)-B300)*(D299+0.15)*(B296-'Data Entry Sheet'!$D$32)</f>
        <v>0</v>
      </c>
      <c r="F299" s="299" t="s">
        <v>10</v>
      </c>
      <c r="G299" s="309">
        <f>SUM(E299:E308)*((B297+81)/83.6)</f>
        <v>0</v>
      </c>
      <c r="H299" s="264"/>
      <c r="M299" s="1"/>
      <c r="N299" s="1"/>
    </row>
    <row r="300" spans="1:14" ht="14.25" customHeight="1" thickBot="1">
      <c r="A300" s="290" t="s">
        <v>562</v>
      </c>
      <c r="B300" s="15">
        <v>0</v>
      </c>
      <c r="C300" s="269"/>
      <c r="D300" s="397"/>
      <c r="E300" s="289"/>
      <c r="F300" s="299"/>
      <c r="G300" s="297" t="s">
        <v>243</v>
      </c>
      <c r="H300" s="298"/>
      <c r="M300" s="1"/>
      <c r="N300" s="1"/>
    </row>
    <row r="301" spans="1:14" ht="14.25" customHeight="1" thickBot="1">
      <c r="A301" s="290" t="s">
        <v>561</v>
      </c>
      <c r="B301" s="604" t="s">
        <v>1064</v>
      </c>
      <c r="C301" s="269"/>
      <c r="D301" s="464">
        <f>VLOOKUP(B301,$I$4:$J$16,2,FALSE)</f>
        <v>2.8</v>
      </c>
      <c r="E301" s="311">
        <f>B300*(D301+0.15)*(B296-'Data Entry Sheet'!$D$32)</f>
        <v>0</v>
      </c>
      <c r="F301" s="299" t="s">
        <v>10</v>
      </c>
      <c r="G301" s="420" t="e">
        <f>G299/B305</f>
        <v>#DIV/0!</v>
      </c>
      <c r="H301" s="264"/>
      <c r="M301" s="1"/>
      <c r="N301" s="1"/>
    </row>
    <row r="302" spans="1:14" ht="14.25" customHeight="1">
      <c r="A302" s="290" t="s">
        <v>560</v>
      </c>
      <c r="B302" s="604">
        <v>0</v>
      </c>
      <c r="C302" s="397"/>
      <c r="D302" s="516"/>
      <c r="E302" s="305"/>
      <c r="F302" s="299"/>
      <c r="G302" s="470" t="s">
        <v>127</v>
      </c>
      <c r="H302" s="298"/>
      <c r="M302" s="1"/>
      <c r="N302" s="1"/>
    </row>
    <row r="303" spans="1:14" ht="14.25" customHeight="1">
      <c r="A303" s="290" t="s">
        <v>559</v>
      </c>
      <c r="B303" s="604">
        <v>0</v>
      </c>
      <c r="C303" s="397"/>
      <c r="D303" s="516"/>
      <c r="E303" s="305"/>
      <c r="F303" s="299"/>
      <c r="G303" s="309">
        <f>+IF(A313="UFH",(G299*0.71/85),((+IF(D317="dp+type21",14.5)+IF(D317="SC_type11",7.3)+IF(D317="SC",7)+IF(D317="DC_type22",14.5))*(A317*B317))/1000000)</f>
        <v>4.38</v>
      </c>
      <c r="H303" s="298" t="s">
        <v>244</v>
      </c>
      <c r="M303" s="1"/>
      <c r="N303" s="1"/>
    </row>
    <row r="304" spans="1:14" ht="14.25" customHeight="1">
      <c r="A304" s="290" t="s">
        <v>558</v>
      </c>
      <c r="B304" s="604" t="s">
        <v>1064</v>
      </c>
      <c r="C304" s="269"/>
      <c r="D304" s="464">
        <f>VLOOKUP(B304,$I$81:$J$100,2,FALSE)</f>
        <v>0.2</v>
      </c>
      <c r="E304" s="311">
        <f>((B302-B303)*(D304+0.15)*(B296-'Data Entry Sheet'!D320))+(B303*(B296-'Data Entry Sheet'!$D$32)*2.8)</f>
        <v>0</v>
      </c>
      <c r="F304" s="299" t="s">
        <v>10</v>
      </c>
      <c r="G304" s="516"/>
      <c r="H304" s="298"/>
      <c r="M304" s="1"/>
      <c r="N304" s="1"/>
    </row>
    <row r="305" spans="1:15" ht="14.25" customHeight="1">
      <c r="A305" s="290" t="s">
        <v>557</v>
      </c>
      <c r="B305" s="604">
        <v>0</v>
      </c>
      <c r="C305" s="397"/>
      <c r="D305" s="305"/>
      <c r="E305" s="305"/>
      <c r="F305" s="300"/>
      <c r="G305" s="516"/>
      <c r="H305" s="298"/>
      <c r="M305" s="1"/>
      <c r="N305" s="1"/>
    </row>
    <row r="306" spans="1:15" ht="14.25" customHeight="1">
      <c r="A306" s="290" t="s">
        <v>556</v>
      </c>
      <c r="B306" s="604" t="s">
        <v>1064</v>
      </c>
      <c r="C306" s="269"/>
      <c r="D306" s="464">
        <f>VLOOKUP(B306,$I$54:$J$75,2,FALSE)</f>
        <v>1</v>
      </c>
      <c r="E306" s="311">
        <f>B305*(D306+0.15)*(B296-( IF(B306="suspended wood ",'Data Entry Sheet'!$D$32,'Data Entry Sheet'!$D$33)))</f>
        <v>0</v>
      </c>
      <c r="F306" s="299" t="s">
        <v>10</v>
      </c>
      <c r="G306" s="516"/>
      <c r="H306" s="298"/>
      <c r="M306" s="1"/>
      <c r="N306" s="1"/>
    </row>
    <row r="307" spans="1:15" ht="14.25" customHeight="1">
      <c r="A307" s="290"/>
      <c r="B307" s="289"/>
      <c r="C307" s="516"/>
      <c r="D307" s="307"/>
      <c r="E307" s="307"/>
      <c r="F307" s="299"/>
      <c r="G307" s="516"/>
      <c r="H307" s="298"/>
      <c r="M307" s="1"/>
      <c r="N307" s="1"/>
    </row>
    <row r="308" spans="1:15" ht="14.25" customHeight="1">
      <c r="A308" s="291" t="s">
        <v>555</v>
      </c>
      <c r="B308" s="604" t="s">
        <v>972</v>
      </c>
      <c r="C308" s="269"/>
      <c r="D308" s="464">
        <f>VLOOKUP(B308,$I$113:J411,2,FALSE)</f>
        <v>1.5</v>
      </c>
      <c r="E308" s="311">
        <f>(B296-'Data Entry Sheet'!$D$32)*0.33*(B305*B297)*D308</f>
        <v>0</v>
      </c>
      <c r="F308" s="299" t="s">
        <v>10</v>
      </c>
      <c r="G308" s="516"/>
      <c r="H308" s="298"/>
      <c r="M308" s="1"/>
      <c r="N308" s="1"/>
    </row>
    <row r="309" spans="1:15" ht="14.25" customHeight="1">
      <c r="A309" s="268"/>
      <c r="B309" s="289"/>
      <c r="C309" s="289"/>
      <c r="D309" s="289"/>
      <c r="E309" s="289"/>
      <c r="F309" s="301"/>
      <c r="G309" s="421"/>
      <c r="H309" s="264"/>
      <c r="M309" s="1"/>
      <c r="N309" s="1"/>
    </row>
    <row r="310" spans="1:15" ht="14.25" customHeight="1">
      <c r="A310" s="718" t="s">
        <v>554</v>
      </c>
      <c r="B310" s="289"/>
      <c r="C310" s="289"/>
      <c r="D310" s="289"/>
      <c r="E310" s="289"/>
      <c r="F310" s="289"/>
      <c r="G310" s="299"/>
      <c r="H310" s="302"/>
      <c r="M310" s="1"/>
      <c r="N310" s="1"/>
    </row>
    <row r="311" spans="1:15" ht="14.25" customHeight="1">
      <c r="A311" s="718"/>
      <c r="C311" s="289"/>
      <c r="D311" s="289"/>
      <c r="E311" s="421"/>
      <c r="F311" s="421"/>
      <c r="G311" s="421"/>
      <c r="H311" s="298"/>
      <c r="M311" s="1"/>
      <c r="N311" s="1"/>
    </row>
    <row r="312" spans="1:15" ht="12.75">
      <c r="A312" s="551" t="s">
        <v>751</v>
      </c>
      <c r="B312" s="469" t="s">
        <v>993</v>
      </c>
      <c r="C312" s="289"/>
      <c r="D312" s="269" t="s">
        <v>1062</v>
      </c>
      <c r="E312" s="289"/>
      <c r="F312" s="289"/>
      <c r="G312" s="421"/>
      <c r="H312" s="298"/>
      <c r="M312" s="1"/>
      <c r="N312" s="1"/>
    </row>
    <row r="313" spans="1:15" ht="14.25" customHeight="1">
      <c r="A313" s="133" t="s">
        <v>1081</v>
      </c>
      <c r="B313" s="133" t="s">
        <v>460</v>
      </c>
      <c r="C313" s="289"/>
      <c r="D313" s="133" t="s">
        <v>1063</v>
      </c>
      <c r="F313" s="312">
        <f>+IF(A313="UFH",G299/344)+IF(A313="radiators",0)</f>
        <v>0</v>
      </c>
      <c r="G313" s="289" t="s">
        <v>527</v>
      </c>
      <c r="H313" s="298"/>
      <c r="M313" s="1"/>
      <c r="N313" s="1"/>
    </row>
    <row r="314" spans="1:15" s="16" customFormat="1" ht="12.75" customHeight="1">
      <c r="A314" s="1"/>
      <c r="B314" s="1"/>
      <c r="C314" s="289"/>
      <c r="D314" s="289"/>
      <c r="E314" s="289"/>
      <c r="F314" s="289"/>
      <c r="G314" s="421"/>
      <c r="H314" s="298"/>
      <c r="I314" s="1"/>
      <c r="J314" s="1"/>
      <c r="K314" s="1"/>
      <c r="L314" s="1"/>
      <c r="M314" s="1"/>
      <c r="N314" s="1"/>
      <c r="O314" s="17"/>
    </row>
    <row r="315" spans="1:15" ht="14.25" customHeight="1">
      <c r="A315" s="268"/>
      <c r="B315" s="289"/>
      <c r="C315" s="289"/>
      <c r="D315" s="289"/>
      <c r="E315" s="289"/>
      <c r="F315" s="301"/>
      <c r="G315" s="722" t="s">
        <v>553</v>
      </c>
      <c r="H315" s="264"/>
      <c r="M315" s="1"/>
      <c r="N315" s="1"/>
    </row>
    <row r="316" spans="1:15" ht="14.25" customHeight="1">
      <c r="A316" s="468" t="s">
        <v>245</v>
      </c>
      <c r="B316" s="469" t="s">
        <v>126</v>
      </c>
      <c r="C316" s="289"/>
      <c r="D316" s="469" t="s">
        <v>14</v>
      </c>
      <c r="E316" s="469" t="s">
        <v>246</v>
      </c>
      <c r="F316" s="469" t="s">
        <v>15</v>
      </c>
      <c r="G316" s="723"/>
      <c r="H316" s="298"/>
      <c r="M316" s="1"/>
      <c r="N316" s="1"/>
    </row>
    <row r="317" spans="1:15" ht="14.25" customHeight="1">
      <c r="A317" s="23">
        <v>600</v>
      </c>
      <c r="B317" s="11">
        <v>1000</v>
      </c>
      <c r="C317" s="289"/>
      <c r="D317" s="11" t="s">
        <v>832</v>
      </c>
      <c r="E317" s="312">
        <f>A317*B317*1.05*(+IF(D317="SC_type11",0.000764)+IF(D317="DC_type22",0.001421)+IF(D317="DP+type21",0.001121))*('Data Entry Sheet'!$I$28/(B296+30))</f>
        <v>471.88235294117646</v>
      </c>
      <c r="F317" s="428" t="e">
        <f>+IF(A313="Radiators",((E317/G299)-1),"UFH")</f>
        <v>#DIV/0!</v>
      </c>
      <c r="G317" s="309" t="e">
        <f>IF(A313="Radiators",(((-1*F317)*(B296-'Data Entry Sheet'!$D$32))+'Data Entry Sheet'!$D$32),-10)</f>
        <v>#DIV/0!</v>
      </c>
      <c r="H317" s="303" t="s">
        <v>53</v>
      </c>
      <c r="M317" s="1"/>
      <c r="N317" s="1"/>
    </row>
    <row r="318" spans="1:15" ht="14.25" customHeight="1">
      <c r="A318" s="273"/>
      <c r="C318" s="289"/>
      <c r="D318" s="289"/>
      <c r="E318" s="289"/>
      <c r="F318" s="439" t="s">
        <v>199</v>
      </c>
      <c r="G318" s="440" t="e">
        <f>B296-#REF!</f>
        <v>#REF!</v>
      </c>
      <c r="H318" s="298"/>
      <c r="M318" s="1"/>
      <c r="N318" s="1"/>
    </row>
    <row r="319" spans="1:15" ht="14.25" customHeight="1">
      <c r="A319" s="273" t="s">
        <v>552</v>
      </c>
      <c r="B319" s="289"/>
      <c r="C319" s="289"/>
      <c r="D319" s="289"/>
      <c r="E319" s="289"/>
      <c r="F319" s="289"/>
      <c r="G319" s="309">
        <f>'Data Entry Sheet'!$I$29*G299</f>
        <v>0</v>
      </c>
      <c r="H319" s="298" t="s">
        <v>10</v>
      </c>
      <c r="M319" s="1"/>
      <c r="N319" s="1"/>
    </row>
    <row r="320" spans="1:15" ht="14.25" customHeight="1">
      <c r="A320" s="273" t="s">
        <v>551</v>
      </c>
      <c r="B320" s="289"/>
      <c r="C320" s="289"/>
      <c r="D320" s="308"/>
      <c r="E320" s="289"/>
      <c r="F320" s="289"/>
      <c r="G320" s="422"/>
      <c r="H320" s="298"/>
      <c r="M320" s="1"/>
      <c r="N320" s="1"/>
    </row>
    <row r="321" spans="1:14" ht="14.25" customHeight="1">
      <c r="A321" s="273"/>
      <c r="B321" s="289"/>
      <c r="C321" s="289"/>
      <c r="D321" s="308"/>
      <c r="E321" s="289"/>
      <c r="F321" s="289"/>
      <c r="G321" s="422"/>
      <c r="H321" s="298"/>
      <c r="M321" s="1"/>
      <c r="N321" s="1"/>
    </row>
    <row r="322" spans="1:14" ht="14.25" customHeight="1">
      <c r="A322" s="468" t="s">
        <v>550</v>
      </c>
      <c r="B322" s="469" t="s">
        <v>549</v>
      </c>
      <c r="C322" s="469"/>
      <c r="D322" s="469" t="s">
        <v>14</v>
      </c>
      <c r="E322" s="469"/>
      <c r="F322" s="469"/>
      <c r="G322" s="470"/>
      <c r="H322" s="471"/>
      <c r="M322" s="1"/>
      <c r="N322" s="1"/>
    </row>
    <row r="323" spans="1:14" ht="14.25" customHeight="1">
      <c r="A323" s="315">
        <f>A317</f>
        <v>600</v>
      </c>
      <c r="B323" s="316">
        <f>G299/(A317*0.001421)*(30/('Data Entry Sheet'!$I$28-B296))</f>
        <v>0</v>
      </c>
      <c r="C323" s="289"/>
      <c r="D323" s="316" t="s">
        <v>548</v>
      </c>
      <c r="E323" s="289"/>
      <c r="F323" s="289"/>
      <c r="G323" s="470"/>
      <c r="H323" s="471"/>
      <c r="M323" s="1"/>
      <c r="N323" s="1"/>
    </row>
    <row r="324" spans="1:14" ht="14.25" customHeight="1" thickBot="1">
      <c r="A324" s="472"/>
      <c r="B324" s="306"/>
      <c r="C324" s="306"/>
      <c r="D324" s="306"/>
      <c r="E324" s="306"/>
      <c r="F324" s="306"/>
      <c r="G324" s="423"/>
      <c r="H324" s="304"/>
      <c r="M324" s="1"/>
      <c r="N324" s="1"/>
    </row>
    <row r="325" spans="1:14" ht="14.25" customHeight="1" thickBot="1">
      <c r="M325" s="1"/>
      <c r="N325" s="1"/>
    </row>
    <row r="326" spans="1:14" ht="14.25" customHeight="1">
      <c r="A326" s="719" t="s">
        <v>70</v>
      </c>
      <c r="B326" s="292"/>
      <c r="C326" s="293"/>
      <c r="D326" s="293"/>
      <c r="E326" s="293"/>
      <c r="F326" s="294"/>
      <c r="G326" s="419"/>
      <c r="H326" s="295"/>
      <c r="M326" s="1"/>
      <c r="N326" s="1"/>
    </row>
    <row r="327" spans="1:14" ht="14.25" customHeight="1">
      <c r="A327" s="720"/>
      <c r="B327" s="13" t="s">
        <v>436</v>
      </c>
      <c r="C327" s="269"/>
      <c r="D327" s="299"/>
      <c r="E327" s="269"/>
      <c r="F327" s="269"/>
      <c r="G327" s="516"/>
      <c r="H327" s="264"/>
      <c r="M327" s="1"/>
      <c r="N327" s="1"/>
    </row>
    <row r="328" spans="1:14" ht="14.25" customHeight="1">
      <c r="A328" s="273" t="s">
        <v>568</v>
      </c>
      <c r="B328" s="14">
        <v>21</v>
      </c>
      <c r="C328" s="397"/>
      <c r="D328" s="516" t="s">
        <v>567</v>
      </c>
      <c r="E328" s="516" t="s">
        <v>9</v>
      </c>
      <c r="F328" s="296"/>
      <c r="G328" s="297" t="s">
        <v>566</v>
      </c>
      <c r="H328" s="298"/>
      <c r="M328" s="1"/>
      <c r="N328" s="1"/>
    </row>
    <row r="329" spans="1:14" ht="14.25" customHeight="1">
      <c r="A329" s="273" t="s">
        <v>565</v>
      </c>
      <c r="B329" s="14">
        <v>2.4</v>
      </c>
      <c r="C329" s="397"/>
      <c r="D329" s="269"/>
      <c r="E329" s="516"/>
      <c r="F329" s="296"/>
      <c r="G329" s="516"/>
      <c r="H329" s="298"/>
      <c r="M329" s="1"/>
      <c r="N329" s="1"/>
    </row>
    <row r="330" spans="1:14" ht="14.25" customHeight="1">
      <c r="A330" s="273" t="s">
        <v>564</v>
      </c>
      <c r="B330" s="15">
        <v>0</v>
      </c>
      <c r="C330" s="397"/>
      <c r="D330" s="269"/>
      <c r="E330" s="269"/>
      <c r="F330" s="296"/>
      <c r="G330" s="516"/>
      <c r="H330" s="298"/>
      <c r="M330" s="1"/>
      <c r="N330" s="1"/>
    </row>
    <row r="331" spans="1:14" ht="14.25" customHeight="1">
      <c r="A331" s="272" t="s">
        <v>563</v>
      </c>
      <c r="B331" s="604" t="s">
        <v>1064</v>
      </c>
      <c r="C331" s="269"/>
      <c r="D331" s="464">
        <f>VLOOKUP(B331,$I$23:$J$49,2,FALSE)</f>
        <v>2.11</v>
      </c>
      <c r="E331" s="311">
        <f>(((B329)*B330)-B332)*(D331+0.15)*(B328-'Data Entry Sheet'!$D$32)</f>
        <v>0</v>
      </c>
      <c r="F331" s="299" t="s">
        <v>10</v>
      </c>
      <c r="G331" s="309">
        <f>SUM(E331:E340)*((B329+81)/83.6)</f>
        <v>0</v>
      </c>
      <c r="H331" s="264"/>
      <c r="M331" s="1"/>
      <c r="N331" s="1"/>
    </row>
    <row r="332" spans="1:14" ht="14.25" customHeight="1" thickBot="1">
      <c r="A332" s="290" t="s">
        <v>562</v>
      </c>
      <c r="B332" s="15">
        <v>0</v>
      </c>
      <c r="C332" s="269"/>
      <c r="D332" s="397"/>
      <c r="E332" s="289"/>
      <c r="F332" s="299"/>
      <c r="G332" s="297" t="s">
        <v>243</v>
      </c>
      <c r="H332" s="298"/>
      <c r="M332" s="1"/>
      <c r="N332" s="1"/>
    </row>
    <row r="333" spans="1:14" ht="14.25" customHeight="1" thickBot="1">
      <c r="A333" s="290" t="s">
        <v>561</v>
      </c>
      <c r="B333" s="604" t="s">
        <v>1064</v>
      </c>
      <c r="C333" s="269"/>
      <c r="D333" s="464">
        <f>VLOOKUP(B333,$I$4:$J$16,2,FALSE)</f>
        <v>2.8</v>
      </c>
      <c r="E333" s="311">
        <f>B332*(D333+0.15)*(B328-'Data Entry Sheet'!$D$32)</f>
        <v>0</v>
      </c>
      <c r="F333" s="299" t="s">
        <v>10</v>
      </c>
      <c r="G333" s="420" t="e">
        <f>G331/B337</f>
        <v>#DIV/0!</v>
      </c>
      <c r="H333" s="264"/>
      <c r="M333" s="1"/>
      <c r="N333" s="1"/>
    </row>
    <row r="334" spans="1:14" ht="14.25" customHeight="1">
      <c r="A334" s="290" t="s">
        <v>560</v>
      </c>
      <c r="B334" s="604">
        <v>0</v>
      </c>
      <c r="C334" s="397"/>
      <c r="D334" s="516"/>
      <c r="E334" s="305"/>
      <c r="F334" s="299"/>
      <c r="G334" s="470" t="s">
        <v>127</v>
      </c>
      <c r="H334" s="298"/>
      <c r="M334" s="1"/>
      <c r="N334" s="1"/>
    </row>
    <row r="335" spans="1:14" ht="14.25" customHeight="1">
      <c r="A335" s="290" t="s">
        <v>559</v>
      </c>
      <c r="B335" s="604">
        <v>0</v>
      </c>
      <c r="C335" s="397"/>
      <c r="D335" s="516"/>
      <c r="E335" s="305"/>
      <c r="F335" s="299"/>
      <c r="G335" s="309">
        <f>+IF(A345="UFH",(G331*0.71/85),((+IF(D349="dp+type21",14.5)+IF(D349="SC_type11",7.3)+IF(D349="SC",7)+IF(D349="DC_type22",14.5))*(A349*B349))/1000000)</f>
        <v>4.38</v>
      </c>
      <c r="H335" s="298" t="s">
        <v>244</v>
      </c>
      <c r="M335" s="1"/>
      <c r="N335" s="1"/>
    </row>
    <row r="336" spans="1:14" ht="14.25" customHeight="1">
      <c r="A336" s="290" t="s">
        <v>558</v>
      </c>
      <c r="B336" s="604" t="s">
        <v>1064</v>
      </c>
      <c r="C336" s="269"/>
      <c r="D336" s="464">
        <f>VLOOKUP(B336,$I$81:$J$100,2,FALSE)</f>
        <v>0.2</v>
      </c>
      <c r="E336" s="311">
        <f>((B334-B335)*(D336+0.15)*(B328-'Data Entry Sheet'!D352))+(B335*(B328-'Data Entry Sheet'!$D$32)*2.8)</f>
        <v>0</v>
      </c>
      <c r="F336" s="299" t="s">
        <v>10</v>
      </c>
      <c r="G336" s="516"/>
      <c r="H336" s="298"/>
      <c r="M336" s="1"/>
      <c r="N336" s="1"/>
    </row>
    <row r="337" spans="1:15" ht="14.25" customHeight="1">
      <c r="A337" s="290" t="s">
        <v>557</v>
      </c>
      <c r="B337" s="604">
        <v>0</v>
      </c>
      <c r="C337" s="397"/>
      <c r="D337" s="305"/>
      <c r="E337" s="305"/>
      <c r="F337" s="300"/>
      <c r="G337" s="516"/>
      <c r="H337" s="298"/>
      <c r="M337" s="1"/>
      <c r="N337" s="1"/>
    </row>
    <row r="338" spans="1:15" ht="14.25" customHeight="1">
      <c r="A338" s="290" t="s">
        <v>556</v>
      </c>
      <c r="B338" s="604" t="s">
        <v>1064</v>
      </c>
      <c r="C338" s="269"/>
      <c r="D338" s="464">
        <f>VLOOKUP(B338,$I$54:$J$75,2,FALSE)</f>
        <v>1</v>
      </c>
      <c r="E338" s="311">
        <f>B337*(D338+0.15)*(B328-( IF(B338="suspended wood ",'Data Entry Sheet'!$D$32,'Data Entry Sheet'!$D$33)))</f>
        <v>0</v>
      </c>
      <c r="F338" s="299" t="s">
        <v>10</v>
      </c>
      <c r="G338" s="516"/>
      <c r="H338" s="298"/>
      <c r="M338" s="1"/>
      <c r="N338" s="1"/>
    </row>
    <row r="339" spans="1:15" s="16" customFormat="1" ht="14.25" customHeight="1">
      <c r="A339" s="290"/>
      <c r="B339" s="289"/>
      <c r="C339" s="516"/>
      <c r="D339" s="307"/>
      <c r="E339" s="307"/>
      <c r="F339" s="299"/>
      <c r="G339" s="516"/>
      <c r="H339" s="298"/>
      <c r="I339" s="1"/>
      <c r="J339" s="1"/>
      <c r="K339" s="1"/>
      <c r="L339" s="1"/>
      <c r="M339" s="1"/>
      <c r="N339" s="1"/>
      <c r="O339" s="17"/>
    </row>
    <row r="340" spans="1:15" ht="14.25" customHeight="1">
      <c r="A340" s="291" t="s">
        <v>555</v>
      </c>
      <c r="B340" s="604" t="s">
        <v>972</v>
      </c>
      <c r="C340" s="269"/>
      <c r="D340" s="464">
        <f>VLOOKUP(B340,$I$113:J443,2,FALSE)</f>
        <v>1.5</v>
      </c>
      <c r="E340" s="311">
        <f>(B328-'Data Entry Sheet'!$D$32)*0.33*(B337*B329)*D340</f>
        <v>0</v>
      </c>
      <c r="F340" s="299" t="s">
        <v>10</v>
      </c>
      <c r="G340" s="516"/>
      <c r="H340" s="298"/>
      <c r="M340" s="1"/>
      <c r="N340" s="1"/>
    </row>
    <row r="341" spans="1:15" ht="23.25">
      <c r="A341" s="268"/>
      <c r="B341" s="289"/>
      <c r="C341" s="289"/>
      <c r="D341" s="289"/>
      <c r="E341" s="289"/>
      <c r="F341" s="301"/>
      <c r="G341" s="421"/>
      <c r="H341" s="264"/>
      <c r="M341" s="1"/>
      <c r="N341" s="1"/>
    </row>
    <row r="342" spans="1:15" ht="14.25" customHeight="1">
      <c r="A342" s="718" t="s">
        <v>554</v>
      </c>
      <c r="B342" s="289"/>
      <c r="C342" s="289"/>
      <c r="D342" s="289"/>
      <c r="E342" s="289"/>
      <c r="F342" s="289"/>
      <c r="G342" s="299"/>
      <c r="H342" s="302"/>
      <c r="M342" s="1"/>
      <c r="N342" s="1"/>
    </row>
    <row r="343" spans="1:15" ht="14.25" customHeight="1">
      <c r="A343" s="718"/>
      <c r="C343" s="289"/>
      <c r="D343" s="289"/>
      <c r="E343" s="421"/>
      <c r="F343" s="421"/>
      <c r="G343" s="421"/>
      <c r="H343" s="298"/>
      <c r="M343" s="1"/>
      <c r="N343" s="1"/>
    </row>
    <row r="344" spans="1:15" ht="14.25" customHeight="1">
      <c r="A344" s="551" t="s">
        <v>751</v>
      </c>
      <c r="B344" s="469" t="s">
        <v>993</v>
      </c>
      <c r="C344" s="289"/>
      <c r="D344" s="269" t="s">
        <v>1062</v>
      </c>
      <c r="E344" s="289"/>
      <c r="F344" s="289"/>
      <c r="G344" s="421"/>
      <c r="H344" s="298"/>
      <c r="M344" s="1"/>
      <c r="N344" s="1"/>
    </row>
    <row r="345" spans="1:15" ht="14.25" customHeight="1">
      <c r="A345" s="133" t="s">
        <v>1081</v>
      </c>
      <c r="B345" s="133" t="s">
        <v>460</v>
      </c>
      <c r="C345" s="289"/>
      <c r="D345" s="133" t="s">
        <v>1063</v>
      </c>
      <c r="F345" s="312">
        <f>+IF(A345="UFH",G331/344)+IF(A345="radiators",0)</f>
        <v>0</v>
      </c>
      <c r="G345" s="289" t="s">
        <v>527</v>
      </c>
      <c r="H345" s="298"/>
      <c r="M345" s="1"/>
      <c r="N345" s="1"/>
    </row>
    <row r="346" spans="1:15" ht="14.25" customHeight="1">
      <c r="C346" s="289"/>
      <c r="D346" s="289"/>
      <c r="E346" s="289"/>
      <c r="F346" s="289"/>
      <c r="G346" s="421"/>
      <c r="H346" s="298"/>
      <c r="M346" s="1"/>
      <c r="N346" s="1"/>
    </row>
    <row r="347" spans="1:15" ht="14.25" customHeight="1">
      <c r="A347" s="268"/>
      <c r="B347" s="289"/>
      <c r="C347" s="289"/>
      <c r="D347" s="289"/>
      <c r="E347" s="289"/>
      <c r="F347" s="301"/>
      <c r="G347" s="722" t="s">
        <v>553</v>
      </c>
      <c r="H347" s="264"/>
      <c r="M347" s="1"/>
      <c r="N347" s="1"/>
    </row>
    <row r="348" spans="1:15" ht="14.25" customHeight="1">
      <c r="A348" s="468" t="s">
        <v>245</v>
      </c>
      <c r="B348" s="469" t="s">
        <v>126</v>
      </c>
      <c r="C348" s="289"/>
      <c r="D348" s="469" t="s">
        <v>14</v>
      </c>
      <c r="E348" s="469" t="s">
        <v>246</v>
      </c>
      <c r="F348" s="469" t="s">
        <v>15</v>
      </c>
      <c r="G348" s="723"/>
      <c r="H348" s="298"/>
      <c r="M348" s="1"/>
      <c r="N348" s="1"/>
    </row>
    <row r="349" spans="1:15" ht="14.25" customHeight="1">
      <c r="A349" s="23">
        <v>600</v>
      </c>
      <c r="B349" s="11">
        <v>1000</v>
      </c>
      <c r="C349" s="289"/>
      <c r="D349" s="11" t="s">
        <v>832</v>
      </c>
      <c r="E349" s="312">
        <f>A349*B349*1.05*(+IF(D349="SC_type11",0.000764)+IF(D349="DC_type22",0.001421)+IF(D349="DP+type21",0.001121))*('Data Entry Sheet'!$I$28/(B328+30))</f>
        <v>471.88235294117646</v>
      </c>
      <c r="F349" s="428" t="e">
        <f>+IF(A345="Radiators",((E349/G331)-1),"UFH")</f>
        <v>#DIV/0!</v>
      </c>
      <c r="G349" s="309" t="e">
        <f>IF(A345="Radiators",(((-1*F349)*(B328-'Data Entry Sheet'!$D$32))+'Data Entry Sheet'!$D$32),-10)</f>
        <v>#DIV/0!</v>
      </c>
      <c r="H349" s="303" t="s">
        <v>53</v>
      </c>
      <c r="M349" s="1"/>
      <c r="N349" s="1"/>
    </row>
    <row r="350" spans="1:15" ht="14.25" customHeight="1">
      <c r="A350" s="273"/>
      <c r="C350" s="289"/>
      <c r="D350" s="289"/>
      <c r="E350" s="289"/>
      <c r="F350" s="439" t="s">
        <v>199</v>
      </c>
      <c r="G350" s="440" t="e">
        <f>B328-#REF!</f>
        <v>#REF!</v>
      </c>
      <c r="H350" s="298"/>
      <c r="M350" s="1"/>
      <c r="N350" s="1"/>
    </row>
    <row r="351" spans="1:15" ht="14.25" customHeight="1">
      <c r="A351" s="273" t="s">
        <v>552</v>
      </c>
      <c r="B351" s="289"/>
      <c r="C351" s="289"/>
      <c r="D351" s="289"/>
      <c r="E351" s="289"/>
      <c r="F351" s="289"/>
      <c r="G351" s="309">
        <f>'Data Entry Sheet'!$I$29*G331</f>
        <v>0</v>
      </c>
      <c r="H351" s="298" t="s">
        <v>10</v>
      </c>
      <c r="M351" s="1"/>
      <c r="N351" s="1"/>
    </row>
    <row r="352" spans="1:15" ht="14.25" customHeight="1">
      <c r="A352" s="273" t="s">
        <v>551</v>
      </c>
      <c r="B352" s="289"/>
      <c r="C352" s="289"/>
      <c r="D352" s="308"/>
      <c r="E352" s="289"/>
      <c r="F352" s="289"/>
      <c r="G352" s="422"/>
      <c r="H352" s="298"/>
      <c r="M352" s="1"/>
      <c r="N352" s="1"/>
    </row>
    <row r="353" spans="1:14" ht="14.25" customHeight="1">
      <c r="A353" s="273"/>
      <c r="B353" s="289"/>
      <c r="C353" s="289"/>
      <c r="D353" s="308"/>
      <c r="E353" s="289"/>
      <c r="F353" s="289"/>
      <c r="G353" s="422"/>
      <c r="H353" s="298"/>
      <c r="M353" s="1"/>
      <c r="N353" s="1"/>
    </row>
    <row r="354" spans="1:14" ht="14.25" customHeight="1">
      <c r="A354" s="468" t="s">
        <v>550</v>
      </c>
      <c r="B354" s="469" t="s">
        <v>549</v>
      </c>
      <c r="C354" s="469"/>
      <c r="D354" s="469" t="s">
        <v>14</v>
      </c>
      <c r="E354" s="469"/>
      <c r="F354" s="469"/>
      <c r="G354" s="470"/>
      <c r="H354" s="471"/>
      <c r="M354" s="1"/>
      <c r="N354" s="1"/>
    </row>
    <row r="355" spans="1:14" ht="14.25" customHeight="1">
      <c r="A355" s="315">
        <f>A349</f>
        <v>600</v>
      </c>
      <c r="B355" s="316">
        <f>G331/(A349*0.001421)*(30/('Data Entry Sheet'!$I$28-B328))</f>
        <v>0</v>
      </c>
      <c r="C355" s="289"/>
      <c r="D355" s="316" t="s">
        <v>548</v>
      </c>
      <c r="E355" s="289"/>
      <c r="F355" s="289"/>
      <c r="G355" s="470"/>
      <c r="H355" s="471"/>
      <c r="M355" s="1"/>
      <c r="N355" s="1"/>
    </row>
    <row r="356" spans="1:14" ht="14.25" customHeight="1" thickBot="1">
      <c r="A356" s="472"/>
      <c r="B356" s="306"/>
      <c r="C356" s="306"/>
      <c r="D356" s="306"/>
      <c r="E356" s="306"/>
      <c r="F356" s="306"/>
      <c r="G356" s="423"/>
      <c r="H356" s="304"/>
      <c r="M356" s="1"/>
      <c r="N356" s="1"/>
    </row>
    <row r="357" spans="1:14" ht="14.25" customHeight="1" thickBot="1">
      <c r="M357" s="1"/>
      <c r="N357" s="1"/>
    </row>
    <row r="358" spans="1:14" ht="14.25" customHeight="1">
      <c r="A358" s="719" t="s">
        <v>70</v>
      </c>
      <c r="B358" s="292"/>
      <c r="C358" s="293"/>
      <c r="D358" s="293"/>
      <c r="E358" s="293"/>
      <c r="F358" s="294"/>
      <c r="G358" s="419"/>
      <c r="H358" s="295"/>
      <c r="M358" s="1"/>
      <c r="N358" s="1"/>
    </row>
    <row r="359" spans="1:14" ht="14.25" customHeight="1">
      <c r="A359" s="720"/>
      <c r="B359" s="13" t="s">
        <v>437</v>
      </c>
      <c r="C359" s="269"/>
      <c r="D359" s="299"/>
      <c r="E359" s="269"/>
      <c r="F359" s="269"/>
      <c r="G359" s="516"/>
      <c r="H359" s="264"/>
      <c r="M359" s="1"/>
      <c r="N359" s="1"/>
    </row>
    <row r="360" spans="1:14" ht="14.25" customHeight="1">
      <c r="A360" s="273" t="s">
        <v>568</v>
      </c>
      <c r="B360" s="14">
        <v>21</v>
      </c>
      <c r="C360" s="397"/>
      <c r="D360" s="516" t="s">
        <v>567</v>
      </c>
      <c r="E360" s="516" t="s">
        <v>9</v>
      </c>
      <c r="F360" s="296"/>
      <c r="G360" s="297" t="s">
        <v>566</v>
      </c>
      <c r="H360" s="298"/>
      <c r="M360" s="1"/>
      <c r="N360" s="1"/>
    </row>
    <row r="361" spans="1:14" ht="14.25" customHeight="1">
      <c r="A361" s="273" t="s">
        <v>565</v>
      </c>
      <c r="B361" s="14">
        <v>2.4</v>
      </c>
      <c r="C361" s="397"/>
      <c r="D361" s="269"/>
      <c r="E361" s="516"/>
      <c r="F361" s="296"/>
      <c r="G361" s="516"/>
      <c r="H361" s="298"/>
      <c r="M361" s="1"/>
      <c r="N361" s="1"/>
    </row>
    <row r="362" spans="1:14" ht="14.25" customHeight="1">
      <c r="A362" s="273" t="s">
        <v>564</v>
      </c>
      <c r="B362" s="15">
        <v>0</v>
      </c>
      <c r="C362" s="397"/>
      <c r="D362" s="269"/>
      <c r="E362" s="269"/>
      <c r="F362" s="296"/>
      <c r="G362" s="516"/>
      <c r="H362" s="298"/>
      <c r="M362" s="1"/>
      <c r="N362" s="1"/>
    </row>
    <row r="363" spans="1:14" ht="14.25" customHeight="1">
      <c r="A363" s="272" t="s">
        <v>563</v>
      </c>
      <c r="B363" s="604" t="s">
        <v>1064</v>
      </c>
      <c r="C363" s="269"/>
      <c r="D363" s="464">
        <f>VLOOKUP(B363,$I$23:$J$49,2,FALSE)</f>
        <v>2.11</v>
      </c>
      <c r="E363" s="311">
        <f>(((B361)*B362)-B364)*(D363+0.15)*(B360-'Data Entry Sheet'!$D$32)</f>
        <v>0</v>
      </c>
      <c r="F363" s="299" t="s">
        <v>10</v>
      </c>
      <c r="G363" s="309">
        <f>SUM(E363:E372)*((B361+81)/83.6)</f>
        <v>0</v>
      </c>
      <c r="H363" s="264"/>
      <c r="M363" s="1"/>
      <c r="N363" s="1"/>
    </row>
    <row r="364" spans="1:14" ht="14.25" customHeight="1" thickBot="1">
      <c r="A364" s="290" t="s">
        <v>562</v>
      </c>
      <c r="B364" s="15">
        <v>0</v>
      </c>
      <c r="C364" s="269"/>
      <c r="D364" s="397"/>
      <c r="E364" s="289"/>
      <c r="F364" s="299"/>
      <c r="G364" s="297" t="s">
        <v>243</v>
      </c>
      <c r="H364" s="298"/>
      <c r="M364" s="1"/>
      <c r="N364" s="1"/>
    </row>
    <row r="365" spans="1:14" ht="14.25" customHeight="1" thickBot="1">
      <c r="A365" s="290" t="s">
        <v>561</v>
      </c>
      <c r="B365" s="604" t="s">
        <v>1064</v>
      </c>
      <c r="C365" s="269"/>
      <c r="D365" s="464">
        <f>VLOOKUP(B365,$I$4:$J$16,2,FALSE)</f>
        <v>2.8</v>
      </c>
      <c r="E365" s="311">
        <f>B364*(D365+0.15)*(B360-'Data Entry Sheet'!$D$32)</f>
        <v>0</v>
      </c>
      <c r="F365" s="299" t="s">
        <v>10</v>
      </c>
      <c r="G365" s="420" t="e">
        <f>G363/B369</f>
        <v>#DIV/0!</v>
      </c>
      <c r="H365" s="264"/>
      <c r="M365" s="1"/>
      <c r="N365" s="1"/>
    </row>
    <row r="366" spans="1:14" ht="14.25" customHeight="1">
      <c r="A366" s="290" t="s">
        <v>560</v>
      </c>
      <c r="B366" s="604">
        <v>0</v>
      </c>
      <c r="C366" s="397"/>
      <c r="D366" s="516"/>
      <c r="E366" s="305"/>
      <c r="F366" s="299"/>
      <c r="G366" s="470" t="s">
        <v>127</v>
      </c>
      <c r="H366" s="298"/>
      <c r="M366" s="1"/>
      <c r="N366" s="1"/>
    </row>
    <row r="367" spans="1:14" ht="14.25" customHeight="1">
      <c r="A367" s="290" t="s">
        <v>559</v>
      </c>
      <c r="B367" s="604">
        <v>0</v>
      </c>
      <c r="C367" s="397"/>
      <c r="D367" s="516"/>
      <c r="E367" s="305"/>
      <c r="F367" s="299"/>
      <c r="G367" s="309">
        <f>+IF(A377="UFH",(G363*0.71/85),((+IF(D381="dp+type21",14.5)+IF(D381="SC_type11",7.3)+IF(D381="SC",7)+IF(D381="DC_type22",14.5))*(A381*B381))/1000000)</f>
        <v>4.38</v>
      </c>
      <c r="H367" s="298" t="s">
        <v>244</v>
      </c>
      <c r="M367" s="1"/>
      <c r="N367" s="1"/>
    </row>
    <row r="368" spans="1:14" ht="14.25" customHeight="1">
      <c r="A368" s="290" t="s">
        <v>558</v>
      </c>
      <c r="B368" s="604" t="s">
        <v>1064</v>
      </c>
      <c r="C368" s="269"/>
      <c r="D368" s="464">
        <f>VLOOKUP(B368,$I$81:$J$100,2,FALSE)</f>
        <v>0.2</v>
      </c>
      <c r="E368" s="311">
        <f>((B366-B367)*(D368+0.15)*(B360-'Data Entry Sheet'!D384))+(B367*(B360-'Data Entry Sheet'!$D$32)*2.8)</f>
        <v>0</v>
      </c>
      <c r="F368" s="299" t="s">
        <v>10</v>
      </c>
      <c r="G368" s="516"/>
      <c r="H368" s="298"/>
      <c r="M368" s="1"/>
      <c r="N368" s="1"/>
    </row>
    <row r="369" spans="1:14" ht="14.25" customHeight="1">
      <c r="A369" s="290" t="s">
        <v>557</v>
      </c>
      <c r="B369" s="604">
        <v>0</v>
      </c>
      <c r="C369" s="397"/>
      <c r="D369" s="305"/>
      <c r="E369" s="305"/>
      <c r="F369" s="300"/>
      <c r="G369" s="516"/>
      <c r="H369" s="298"/>
      <c r="M369" s="1"/>
      <c r="N369" s="1"/>
    </row>
    <row r="370" spans="1:14" ht="12.75">
      <c r="A370" s="290" t="s">
        <v>556</v>
      </c>
      <c r="B370" s="604" t="s">
        <v>1064</v>
      </c>
      <c r="C370" s="269"/>
      <c r="D370" s="464">
        <f>VLOOKUP(B370,$I$54:$J$75,2,FALSE)</f>
        <v>1</v>
      </c>
      <c r="E370" s="311">
        <f>B369*(D370+0.15)*(B360-( IF(B370="suspended wood ",'Data Entry Sheet'!$D$32,'Data Entry Sheet'!$D$33)))</f>
        <v>0</v>
      </c>
      <c r="F370" s="299" t="s">
        <v>10</v>
      </c>
      <c r="G370" s="516"/>
      <c r="H370" s="298"/>
      <c r="M370" s="1"/>
      <c r="N370" s="1"/>
    </row>
    <row r="371" spans="1:14" ht="14.25" customHeight="1">
      <c r="A371" s="290"/>
      <c r="B371" s="289"/>
      <c r="C371" s="516"/>
      <c r="D371" s="307"/>
      <c r="E371" s="307"/>
      <c r="F371" s="299"/>
      <c r="G371" s="516"/>
      <c r="H371" s="298"/>
      <c r="M371" s="1"/>
      <c r="N371" s="1"/>
    </row>
    <row r="372" spans="1:14" ht="14.25" customHeight="1">
      <c r="A372" s="291" t="s">
        <v>555</v>
      </c>
      <c r="B372" s="604" t="s">
        <v>972</v>
      </c>
      <c r="C372" s="269"/>
      <c r="D372" s="464">
        <f>VLOOKUP(B372,$I$113:J475,2,FALSE)</f>
        <v>1.5</v>
      </c>
      <c r="E372" s="311">
        <f>(B360-'Data Entry Sheet'!$D$32)*0.33*(B369*B361)*D372</f>
        <v>0</v>
      </c>
      <c r="F372" s="299" t="s">
        <v>10</v>
      </c>
      <c r="G372" s="516"/>
      <c r="H372" s="298"/>
      <c r="M372" s="1"/>
      <c r="N372" s="1"/>
    </row>
    <row r="373" spans="1:14" ht="14.25" customHeight="1">
      <c r="A373" s="268"/>
      <c r="B373" s="289"/>
      <c r="C373" s="289"/>
      <c r="D373" s="289"/>
      <c r="E373" s="289"/>
      <c r="F373" s="301"/>
      <c r="G373" s="421"/>
      <c r="H373" s="264"/>
      <c r="M373" s="1"/>
      <c r="N373" s="1"/>
    </row>
    <row r="374" spans="1:14" ht="12.75" customHeight="1">
      <c r="A374" s="718" t="s">
        <v>554</v>
      </c>
      <c r="B374" s="289"/>
      <c r="C374" s="289"/>
      <c r="D374" s="289"/>
      <c r="E374" s="289"/>
      <c r="F374" s="289"/>
      <c r="G374" s="299"/>
      <c r="H374" s="302"/>
      <c r="M374" s="1"/>
      <c r="N374" s="1"/>
    </row>
    <row r="375" spans="1:14" ht="14.25" customHeight="1">
      <c r="A375" s="718"/>
      <c r="C375" s="289"/>
      <c r="D375" s="289"/>
      <c r="E375" s="421"/>
      <c r="F375" s="421"/>
      <c r="G375" s="421"/>
      <c r="H375" s="298"/>
      <c r="M375" s="1"/>
      <c r="N375" s="1"/>
    </row>
    <row r="376" spans="1:14" ht="14.25" customHeight="1">
      <c r="A376" s="551" t="s">
        <v>751</v>
      </c>
      <c r="B376" s="469" t="s">
        <v>993</v>
      </c>
      <c r="C376" s="289"/>
      <c r="D376" s="269" t="s">
        <v>1062</v>
      </c>
      <c r="E376" s="289"/>
      <c r="F376" s="289"/>
      <c r="G376" s="421"/>
      <c r="H376" s="298"/>
      <c r="M376" s="1"/>
      <c r="N376" s="1"/>
    </row>
    <row r="377" spans="1:14" ht="14.25" customHeight="1">
      <c r="A377" s="133" t="s">
        <v>1081</v>
      </c>
      <c r="B377" s="133" t="s">
        <v>460</v>
      </c>
      <c r="C377" s="289"/>
      <c r="D377" s="133" t="s">
        <v>1063</v>
      </c>
      <c r="F377" s="312">
        <f>+IF(A377="UFH",G363/344)+IF(A377="radiators",0)</f>
        <v>0</v>
      </c>
      <c r="G377" s="289" t="s">
        <v>527</v>
      </c>
      <c r="H377" s="298"/>
      <c r="M377" s="1"/>
      <c r="N377" s="1"/>
    </row>
    <row r="378" spans="1:14" ht="14.25" customHeight="1">
      <c r="C378" s="289"/>
      <c r="D378" s="289"/>
      <c r="E378" s="289"/>
      <c r="F378" s="289"/>
      <c r="G378" s="421"/>
      <c r="H378" s="298"/>
      <c r="M378" s="1"/>
      <c r="N378" s="1"/>
    </row>
    <row r="379" spans="1:14" ht="14.25" customHeight="1">
      <c r="A379" s="268"/>
      <c r="B379" s="289"/>
      <c r="C379" s="289"/>
      <c r="D379" s="289"/>
      <c r="E379" s="289"/>
      <c r="F379" s="301"/>
      <c r="G379" s="722" t="s">
        <v>553</v>
      </c>
      <c r="H379" s="264"/>
      <c r="M379" s="1"/>
      <c r="N379" s="1"/>
    </row>
    <row r="380" spans="1:14" ht="14.25" customHeight="1">
      <c r="A380" s="468" t="s">
        <v>245</v>
      </c>
      <c r="B380" s="469" t="s">
        <v>126</v>
      </c>
      <c r="C380" s="289"/>
      <c r="D380" s="469" t="s">
        <v>14</v>
      </c>
      <c r="E380" s="469" t="s">
        <v>246</v>
      </c>
      <c r="F380" s="469" t="s">
        <v>15</v>
      </c>
      <c r="G380" s="723"/>
      <c r="H380" s="298"/>
      <c r="M380" s="1"/>
      <c r="N380" s="1"/>
    </row>
    <row r="381" spans="1:14" ht="14.25" customHeight="1">
      <c r="A381" s="23">
        <v>600</v>
      </c>
      <c r="B381" s="11">
        <v>1000</v>
      </c>
      <c r="C381" s="289"/>
      <c r="D381" s="11" t="s">
        <v>832</v>
      </c>
      <c r="E381" s="312">
        <f>A381*B381*1.05*(+IF(D381="SC_type11",0.000764)+IF(D381="DC_type22",0.001421)+IF(D381="DP+type21",0.001121))*('Data Entry Sheet'!$I$28/(B360+30))</f>
        <v>471.88235294117646</v>
      </c>
      <c r="F381" s="428" t="e">
        <f>+IF(A377="Radiators",((E381/G363)-1),"UFH")</f>
        <v>#DIV/0!</v>
      </c>
      <c r="G381" s="309" t="e">
        <f>IF(A377="Radiators",(((-1*F381)*(B360-'Data Entry Sheet'!$D$32))+'Data Entry Sheet'!$D$32),-10)</f>
        <v>#DIV/0!</v>
      </c>
      <c r="H381" s="303" t="s">
        <v>53</v>
      </c>
      <c r="M381" s="1"/>
      <c r="N381" s="1"/>
    </row>
    <row r="382" spans="1:14" ht="14.25" customHeight="1">
      <c r="A382" s="273"/>
      <c r="C382" s="289"/>
      <c r="D382" s="289"/>
      <c r="E382" s="289"/>
      <c r="F382" s="439" t="s">
        <v>199</v>
      </c>
      <c r="G382" s="440" t="e">
        <f>B360-#REF!</f>
        <v>#REF!</v>
      </c>
      <c r="H382" s="298"/>
      <c r="M382" s="1"/>
      <c r="N382" s="1"/>
    </row>
    <row r="383" spans="1:14" ht="14.25" customHeight="1">
      <c r="A383" s="273" t="s">
        <v>552</v>
      </c>
      <c r="B383" s="289"/>
      <c r="C383" s="289"/>
      <c r="D383" s="289"/>
      <c r="E383" s="289"/>
      <c r="F383" s="289"/>
      <c r="G383" s="309">
        <f>'Data Entry Sheet'!$I$29*G363</f>
        <v>0</v>
      </c>
      <c r="H383" s="298" t="s">
        <v>10</v>
      </c>
      <c r="M383" s="1"/>
      <c r="N383" s="1"/>
    </row>
    <row r="384" spans="1:14" ht="14.25" customHeight="1">
      <c r="A384" s="273" t="s">
        <v>551</v>
      </c>
      <c r="B384" s="289"/>
      <c r="C384" s="289"/>
      <c r="D384" s="308"/>
      <c r="E384" s="289"/>
      <c r="F384" s="289"/>
      <c r="G384" s="422"/>
      <c r="H384" s="298"/>
      <c r="M384" s="1"/>
      <c r="N384" s="1"/>
    </row>
    <row r="385" spans="1:14" ht="14.25" customHeight="1">
      <c r="A385" s="273"/>
      <c r="B385" s="289"/>
      <c r="C385" s="289"/>
      <c r="D385" s="308"/>
      <c r="E385" s="289"/>
      <c r="F385" s="289"/>
      <c r="G385" s="422"/>
      <c r="H385" s="298"/>
      <c r="M385" s="1"/>
      <c r="N385" s="1"/>
    </row>
    <row r="386" spans="1:14" ht="14.25" customHeight="1">
      <c r="A386" s="468" t="s">
        <v>550</v>
      </c>
      <c r="B386" s="469" t="s">
        <v>549</v>
      </c>
      <c r="C386" s="469"/>
      <c r="D386" s="469" t="s">
        <v>14</v>
      </c>
      <c r="E386" s="469"/>
      <c r="F386" s="469"/>
      <c r="G386" s="470"/>
      <c r="H386" s="471"/>
      <c r="M386" s="1"/>
      <c r="N386" s="1"/>
    </row>
    <row r="387" spans="1:14" ht="14.25" customHeight="1">
      <c r="A387" s="315">
        <f>A381</f>
        <v>600</v>
      </c>
      <c r="B387" s="316">
        <f>G363/(A381*0.001421)*(30/('Data Entry Sheet'!$I$28-B360))</f>
        <v>0</v>
      </c>
      <c r="C387" s="289"/>
      <c r="D387" s="316" t="s">
        <v>548</v>
      </c>
      <c r="E387" s="289"/>
      <c r="F387" s="289"/>
      <c r="G387" s="470"/>
      <c r="H387" s="471"/>
      <c r="M387" s="1"/>
      <c r="N387" s="1"/>
    </row>
    <row r="388" spans="1:14" ht="14.25" customHeight="1" thickBot="1">
      <c r="A388" s="472"/>
      <c r="B388" s="306"/>
      <c r="C388" s="306"/>
      <c r="D388" s="306"/>
      <c r="E388" s="306"/>
      <c r="F388" s="306"/>
      <c r="G388" s="423"/>
      <c r="H388" s="304"/>
      <c r="M388" s="1"/>
      <c r="N388" s="1"/>
    </row>
    <row r="389" spans="1:14" ht="14.25" customHeight="1" thickBot="1">
      <c r="M389" s="1"/>
      <c r="N389" s="1"/>
    </row>
    <row r="390" spans="1:14" ht="14.25" customHeight="1">
      <c r="A390" s="719" t="s">
        <v>70</v>
      </c>
      <c r="B390" s="292"/>
      <c r="C390" s="293"/>
      <c r="D390" s="293"/>
      <c r="E390" s="293"/>
      <c r="F390" s="294"/>
      <c r="G390" s="419"/>
      <c r="H390" s="295"/>
      <c r="M390" s="1"/>
      <c r="N390" s="1"/>
    </row>
    <row r="391" spans="1:14" ht="14.25" customHeight="1">
      <c r="A391" s="720"/>
      <c r="B391" s="13" t="s">
        <v>438</v>
      </c>
      <c r="C391" s="269"/>
      <c r="D391" s="299"/>
      <c r="E391" s="269"/>
      <c r="F391" s="269"/>
      <c r="G391" s="516"/>
      <c r="H391" s="264"/>
      <c r="M391" s="1"/>
      <c r="N391" s="1"/>
    </row>
    <row r="392" spans="1:14" ht="14.25" customHeight="1">
      <c r="A392" s="273" t="s">
        <v>568</v>
      </c>
      <c r="B392" s="14">
        <v>21</v>
      </c>
      <c r="C392" s="397"/>
      <c r="D392" s="516" t="s">
        <v>567</v>
      </c>
      <c r="E392" s="516" t="s">
        <v>9</v>
      </c>
      <c r="F392" s="296"/>
      <c r="G392" s="297" t="s">
        <v>566</v>
      </c>
      <c r="H392" s="298"/>
      <c r="M392" s="1"/>
      <c r="N392" s="1"/>
    </row>
    <row r="393" spans="1:14" ht="14.25" customHeight="1">
      <c r="A393" s="273" t="s">
        <v>565</v>
      </c>
      <c r="B393" s="14">
        <v>2.4</v>
      </c>
      <c r="C393" s="397"/>
      <c r="D393" s="269"/>
      <c r="E393" s="516"/>
      <c r="F393" s="296"/>
      <c r="G393" s="516"/>
      <c r="H393" s="298"/>
      <c r="M393" s="1"/>
      <c r="N393" s="1"/>
    </row>
    <row r="394" spans="1:14" ht="14.25" customHeight="1">
      <c r="A394" s="273" t="s">
        <v>564</v>
      </c>
      <c r="B394" s="15">
        <v>0</v>
      </c>
      <c r="C394" s="397"/>
      <c r="D394" s="269"/>
      <c r="E394" s="269"/>
      <c r="F394" s="296"/>
      <c r="G394" s="516"/>
      <c r="H394" s="298"/>
      <c r="M394" s="1"/>
      <c r="N394" s="1"/>
    </row>
    <row r="395" spans="1:14" ht="14.25" customHeight="1">
      <c r="A395" s="272" t="s">
        <v>563</v>
      </c>
      <c r="B395" s="604" t="s">
        <v>1064</v>
      </c>
      <c r="C395" s="269"/>
      <c r="D395" s="464">
        <f>VLOOKUP(B395,$I$23:$J$49,2,FALSE)</f>
        <v>2.11</v>
      </c>
      <c r="E395" s="311">
        <f>(((B393)*B394)-B396)*(D395+0.15)*(B392-'Data Entry Sheet'!$D$32)</f>
        <v>0</v>
      </c>
      <c r="F395" s="299" t="s">
        <v>10</v>
      </c>
      <c r="G395" s="309">
        <f>SUM(E395:E404)*((B393+81)/83.6)</f>
        <v>0</v>
      </c>
      <c r="H395" s="264"/>
      <c r="M395" s="1"/>
      <c r="N395" s="1"/>
    </row>
    <row r="396" spans="1:14" ht="14.25" customHeight="1" thickBot="1">
      <c r="A396" s="290" t="s">
        <v>562</v>
      </c>
      <c r="B396" s="15">
        <v>0</v>
      </c>
      <c r="C396" s="269"/>
      <c r="D396" s="397"/>
      <c r="E396" s="289"/>
      <c r="F396" s="299"/>
      <c r="G396" s="297" t="s">
        <v>243</v>
      </c>
      <c r="H396" s="298"/>
      <c r="M396" s="1"/>
      <c r="N396" s="1"/>
    </row>
    <row r="397" spans="1:14" ht="14.25" customHeight="1" thickBot="1">
      <c r="A397" s="290" t="s">
        <v>561</v>
      </c>
      <c r="B397" s="604" t="s">
        <v>1064</v>
      </c>
      <c r="C397" s="269"/>
      <c r="D397" s="464">
        <f>VLOOKUP(B397,$I$4:$J$16,2,FALSE)</f>
        <v>2.8</v>
      </c>
      <c r="E397" s="311">
        <f>B396*(D397+0.15)*(B392-'Data Entry Sheet'!$D$32)</f>
        <v>0</v>
      </c>
      <c r="F397" s="299" t="s">
        <v>10</v>
      </c>
      <c r="G397" s="420" t="e">
        <f>G395/B401</f>
        <v>#DIV/0!</v>
      </c>
      <c r="H397" s="264"/>
      <c r="M397" s="1"/>
      <c r="N397" s="1"/>
    </row>
    <row r="398" spans="1:14" ht="14.25" customHeight="1">
      <c r="A398" s="290" t="s">
        <v>560</v>
      </c>
      <c r="B398" s="604">
        <v>0</v>
      </c>
      <c r="C398" s="397"/>
      <c r="D398" s="516"/>
      <c r="E398" s="305"/>
      <c r="F398" s="299"/>
      <c r="G398" s="470" t="s">
        <v>127</v>
      </c>
      <c r="H398" s="298"/>
      <c r="M398" s="1"/>
      <c r="N398" s="1"/>
    </row>
    <row r="399" spans="1:14" ht="12.75">
      <c r="A399" s="290" t="s">
        <v>559</v>
      </c>
      <c r="B399" s="604">
        <v>0</v>
      </c>
      <c r="C399" s="397"/>
      <c r="D399" s="516"/>
      <c r="E399" s="305"/>
      <c r="F399" s="299"/>
      <c r="G399" s="309">
        <f>+IF(A409="UFH",(G395*0.71/85),((+IF(D413="dp+type21",14.5)+IF(D413="SC_type11",7.3)+IF(D413="SC",7)+IF(D413="DC_type22",14.5))*(A413*B413))/1000000)</f>
        <v>4.38</v>
      </c>
      <c r="H399" s="298" t="s">
        <v>244</v>
      </c>
      <c r="M399" s="1"/>
      <c r="N399" s="1"/>
    </row>
    <row r="400" spans="1:14" ht="14.25" customHeight="1">
      <c r="A400" s="290" t="s">
        <v>558</v>
      </c>
      <c r="B400" s="604" t="s">
        <v>1064</v>
      </c>
      <c r="C400" s="269"/>
      <c r="D400" s="464">
        <f>VLOOKUP(B400,$I$81:$J$100,2,FALSE)</f>
        <v>0.2</v>
      </c>
      <c r="E400" s="311">
        <f>((B398-B399)*(D400+0.15)*(B392-'Data Entry Sheet'!D416))+(B399*(B392-'Data Entry Sheet'!$D$32)*2.8)</f>
        <v>0</v>
      </c>
      <c r="F400" s="299" t="s">
        <v>10</v>
      </c>
      <c r="G400" s="516"/>
      <c r="H400" s="298"/>
      <c r="M400" s="1"/>
      <c r="N400" s="1"/>
    </row>
    <row r="401" spans="1:14" ht="14.25" customHeight="1">
      <c r="A401" s="290" t="s">
        <v>557</v>
      </c>
      <c r="B401" s="604">
        <v>0</v>
      </c>
      <c r="C401" s="397"/>
      <c r="D401" s="305"/>
      <c r="E401" s="305"/>
      <c r="F401" s="300"/>
      <c r="G401" s="516"/>
      <c r="H401" s="298"/>
      <c r="M401" s="1"/>
      <c r="N401" s="1"/>
    </row>
    <row r="402" spans="1:14" ht="14.25" customHeight="1">
      <c r="A402" s="290" t="s">
        <v>556</v>
      </c>
      <c r="B402" s="604" t="s">
        <v>1064</v>
      </c>
      <c r="C402" s="269"/>
      <c r="D402" s="464">
        <f>VLOOKUP(B402,$I$54:$J$75,2,FALSE)</f>
        <v>1</v>
      </c>
      <c r="E402" s="311">
        <f>B401*(D402+0.15)*(B392-( IF(B402="suspended wood ",'Data Entry Sheet'!$D$32,'Data Entry Sheet'!$D$33)))</f>
        <v>0</v>
      </c>
      <c r="F402" s="299" t="s">
        <v>10</v>
      </c>
      <c r="G402" s="516"/>
      <c r="H402" s="298"/>
      <c r="M402" s="1"/>
      <c r="N402" s="1"/>
    </row>
    <row r="403" spans="1:14" ht="14.25" customHeight="1">
      <c r="A403" s="290"/>
      <c r="B403" s="289"/>
      <c r="C403" s="516"/>
      <c r="D403" s="307"/>
      <c r="E403" s="307"/>
      <c r="F403" s="299"/>
      <c r="G403" s="516"/>
      <c r="H403" s="298"/>
      <c r="M403" s="1"/>
      <c r="N403" s="1"/>
    </row>
    <row r="404" spans="1:14" ht="12.75" customHeight="1">
      <c r="A404" s="291" t="s">
        <v>555</v>
      </c>
      <c r="B404" s="604" t="s">
        <v>972</v>
      </c>
      <c r="C404" s="269"/>
      <c r="D404" s="464">
        <f>VLOOKUP(B404,$I$113:J507,2,FALSE)</f>
        <v>1.5</v>
      </c>
      <c r="E404" s="311">
        <f>(B392-'Data Entry Sheet'!$D$32)*0.33*(B401*B393)*D404</f>
        <v>0</v>
      </c>
      <c r="F404" s="299" t="s">
        <v>10</v>
      </c>
      <c r="G404" s="516"/>
      <c r="H404" s="298"/>
      <c r="M404" s="1"/>
      <c r="N404" s="1"/>
    </row>
    <row r="405" spans="1:14" ht="14.25" customHeight="1">
      <c r="A405" s="268"/>
      <c r="B405" s="289"/>
      <c r="C405" s="289"/>
      <c r="D405" s="289"/>
      <c r="E405" s="289"/>
      <c r="F405" s="301"/>
      <c r="G405" s="421"/>
      <c r="H405" s="264"/>
      <c r="M405" s="1"/>
      <c r="N405" s="1"/>
    </row>
    <row r="406" spans="1:14" ht="14.25" customHeight="1">
      <c r="A406" s="718" t="s">
        <v>554</v>
      </c>
      <c r="B406" s="289"/>
      <c r="C406" s="289"/>
      <c r="D406" s="289"/>
      <c r="E406" s="289"/>
      <c r="F406" s="289"/>
      <c r="G406" s="299"/>
      <c r="H406" s="302"/>
      <c r="M406" s="1"/>
      <c r="N406" s="1"/>
    </row>
    <row r="407" spans="1:14" ht="14.25" customHeight="1">
      <c r="A407" s="718"/>
      <c r="C407" s="289"/>
      <c r="D407" s="289"/>
      <c r="E407" s="421"/>
      <c r="F407" s="421"/>
      <c r="G407" s="421"/>
      <c r="H407" s="298"/>
      <c r="M407" s="1"/>
      <c r="N407" s="1"/>
    </row>
    <row r="408" spans="1:14" ht="14.25" customHeight="1">
      <c r="A408" s="551" t="s">
        <v>751</v>
      </c>
      <c r="B408" s="469" t="s">
        <v>993</v>
      </c>
      <c r="C408" s="289"/>
      <c r="D408" s="269" t="s">
        <v>1062</v>
      </c>
      <c r="E408" s="289"/>
      <c r="F408" s="289"/>
      <c r="G408" s="421"/>
      <c r="H408" s="298"/>
      <c r="M408" s="1"/>
      <c r="N408" s="1"/>
    </row>
    <row r="409" spans="1:14" ht="14.25" customHeight="1">
      <c r="A409" s="133" t="s">
        <v>1081</v>
      </c>
      <c r="B409" s="133" t="s">
        <v>460</v>
      </c>
      <c r="C409" s="289"/>
      <c r="D409" s="133" t="s">
        <v>1063</v>
      </c>
      <c r="F409" s="312">
        <f>+IF(A409="UFH",G395/344)+IF(A409="radiators",0)</f>
        <v>0</v>
      </c>
      <c r="G409" s="289" t="s">
        <v>527</v>
      </c>
      <c r="H409" s="298"/>
      <c r="M409" s="1"/>
      <c r="N409" s="1"/>
    </row>
    <row r="410" spans="1:14" ht="14.25" customHeight="1">
      <c r="C410" s="289"/>
      <c r="D410" s="289"/>
      <c r="E410" s="289"/>
      <c r="F410" s="289"/>
      <c r="G410" s="421"/>
      <c r="H410" s="298"/>
      <c r="M410" s="1"/>
      <c r="N410" s="1"/>
    </row>
    <row r="411" spans="1:14" ht="14.25" customHeight="1">
      <c r="A411" s="268"/>
      <c r="B411" s="289"/>
      <c r="C411" s="289"/>
      <c r="D411" s="289"/>
      <c r="E411" s="289"/>
      <c r="F411" s="301"/>
      <c r="G411" s="722" t="s">
        <v>553</v>
      </c>
      <c r="H411" s="264"/>
      <c r="M411" s="1"/>
      <c r="N411" s="1"/>
    </row>
    <row r="412" spans="1:14" ht="14.25" customHeight="1">
      <c r="A412" s="468" t="s">
        <v>245</v>
      </c>
      <c r="B412" s="469" t="s">
        <v>126</v>
      </c>
      <c r="C412" s="289"/>
      <c r="D412" s="469" t="s">
        <v>14</v>
      </c>
      <c r="E412" s="469" t="s">
        <v>246</v>
      </c>
      <c r="F412" s="469" t="s">
        <v>15</v>
      </c>
      <c r="G412" s="723"/>
      <c r="H412" s="298"/>
      <c r="M412" s="1"/>
      <c r="N412" s="1"/>
    </row>
    <row r="413" spans="1:14" ht="14.25" customHeight="1">
      <c r="A413" s="23">
        <v>600</v>
      </c>
      <c r="B413" s="11">
        <v>1000</v>
      </c>
      <c r="C413" s="289"/>
      <c r="D413" s="11" t="s">
        <v>832</v>
      </c>
      <c r="E413" s="312">
        <f>A413*B413*1.05*(+IF(D413="SC_type11",0.000764)+IF(D413="DC_type22",0.001421)+IF(D413="DP+type21",0.001121))*('Data Entry Sheet'!$I$28/(B392+30))</f>
        <v>471.88235294117646</v>
      </c>
      <c r="F413" s="428" t="e">
        <f>+IF(A409="Radiators",((E413/G395)-1),"UFH")</f>
        <v>#DIV/0!</v>
      </c>
      <c r="G413" s="309" t="e">
        <f>IF(A409="Radiators",(((-1*F413)*(B392-'Data Entry Sheet'!$D$32))+'Data Entry Sheet'!$D$32),-10)</f>
        <v>#DIV/0!</v>
      </c>
      <c r="H413" s="303" t="s">
        <v>53</v>
      </c>
      <c r="M413" s="1"/>
      <c r="N413" s="1"/>
    </row>
    <row r="414" spans="1:14" ht="14.25" customHeight="1">
      <c r="A414" s="273"/>
      <c r="C414" s="289"/>
      <c r="D414" s="289"/>
      <c r="E414" s="289"/>
      <c r="F414" s="439" t="s">
        <v>199</v>
      </c>
      <c r="G414" s="440" t="e">
        <f>B392-#REF!</f>
        <v>#REF!</v>
      </c>
      <c r="H414" s="298"/>
      <c r="M414" s="1"/>
      <c r="N414" s="1"/>
    </row>
    <row r="415" spans="1:14" ht="14.25" customHeight="1">
      <c r="A415" s="273" t="s">
        <v>552</v>
      </c>
      <c r="B415" s="289"/>
      <c r="C415" s="289"/>
      <c r="D415" s="289"/>
      <c r="E415" s="289"/>
      <c r="F415" s="289"/>
      <c r="G415" s="309">
        <f>'Data Entry Sheet'!$I$29*G395</f>
        <v>0</v>
      </c>
      <c r="H415" s="298" t="s">
        <v>10</v>
      </c>
      <c r="M415" s="1"/>
      <c r="N415" s="1"/>
    </row>
    <row r="416" spans="1:14" ht="14.25" customHeight="1">
      <c r="A416" s="273" t="s">
        <v>551</v>
      </c>
      <c r="B416" s="289"/>
      <c r="C416" s="289"/>
      <c r="D416" s="308"/>
      <c r="E416" s="289"/>
      <c r="F416" s="289"/>
      <c r="G416" s="422"/>
      <c r="H416" s="298"/>
      <c r="M416" s="1"/>
      <c r="N416" s="1"/>
    </row>
    <row r="417" spans="1:14" ht="14.25" customHeight="1">
      <c r="A417" s="273"/>
      <c r="B417" s="289"/>
      <c r="C417" s="289"/>
      <c r="D417" s="308"/>
      <c r="E417" s="289"/>
      <c r="F417" s="289"/>
      <c r="G417" s="422"/>
      <c r="H417" s="298"/>
      <c r="M417" s="1"/>
      <c r="N417" s="1"/>
    </row>
    <row r="418" spans="1:14" ht="14.25" customHeight="1">
      <c r="A418" s="468" t="s">
        <v>550</v>
      </c>
      <c r="B418" s="469" t="s">
        <v>549</v>
      </c>
      <c r="C418" s="469"/>
      <c r="D418" s="469" t="s">
        <v>14</v>
      </c>
      <c r="E418" s="469"/>
      <c r="F418" s="469"/>
      <c r="G418" s="470"/>
      <c r="H418" s="471"/>
      <c r="M418" s="1"/>
      <c r="N418" s="1"/>
    </row>
    <row r="419" spans="1:14" ht="14.25" customHeight="1">
      <c r="A419" s="315">
        <f>A413</f>
        <v>600</v>
      </c>
      <c r="B419" s="316">
        <f>G395/(A413*0.001421)*(30/('Data Entry Sheet'!$I$28-B392))</f>
        <v>0</v>
      </c>
      <c r="C419" s="289"/>
      <c r="D419" s="316" t="s">
        <v>548</v>
      </c>
      <c r="E419" s="289"/>
      <c r="F419" s="289"/>
      <c r="G419" s="470"/>
      <c r="H419" s="471"/>
      <c r="M419" s="1"/>
      <c r="N419" s="1"/>
    </row>
    <row r="420" spans="1:14" ht="14.25" customHeight="1" thickBot="1">
      <c r="A420" s="472"/>
      <c r="B420" s="306"/>
      <c r="C420" s="306"/>
      <c r="D420" s="306"/>
      <c r="E420" s="306"/>
      <c r="F420" s="306"/>
      <c r="G420" s="423"/>
      <c r="H420" s="304"/>
      <c r="M420" s="1"/>
      <c r="N420" s="1"/>
    </row>
    <row r="421" spans="1:14" ht="14.25" customHeight="1" thickBot="1">
      <c r="M421" s="1"/>
      <c r="N421" s="1"/>
    </row>
    <row r="422" spans="1:14" ht="14.25" customHeight="1">
      <c r="A422" s="719" t="s">
        <v>70</v>
      </c>
      <c r="B422" s="292"/>
      <c r="C422" s="293"/>
      <c r="D422" s="293"/>
      <c r="E422" s="293"/>
      <c r="F422" s="294"/>
      <c r="G422" s="419"/>
      <c r="H422" s="295"/>
      <c r="M422" s="1"/>
      <c r="N422" s="1"/>
    </row>
    <row r="423" spans="1:14" ht="14.25" customHeight="1">
      <c r="A423" s="720"/>
      <c r="B423" s="13" t="s">
        <v>439</v>
      </c>
      <c r="C423" s="269"/>
      <c r="D423" s="299"/>
      <c r="E423" s="269"/>
      <c r="F423" s="269"/>
      <c r="G423" s="516"/>
      <c r="H423" s="264"/>
      <c r="M423" s="1"/>
      <c r="N423" s="1"/>
    </row>
    <row r="424" spans="1:14" ht="14.25" customHeight="1">
      <c r="A424" s="273" t="s">
        <v>568</v>
      </c>
      <c r="B424" s="14">
        <v>21</v>
      </c>
      <c r="C424" s="397"/>
      <c r="D424" s="516" t="s">
        <v>567</v>
      </c>
      <c r="E424" s="516" t="s">
        <v>9</v>
      </c>
      <c r="F424" s="296"/>
      <c r="G424" s="297" t="s">
        <v>566</v>
      </c>
      <c r="H424" s="298"/>
      <c r="M424" s="1"/>
      <c r="N424" s="1"/>
    </row>
    <row r="425" spans="1:14" ht="14.25" customHeight="1">
      <c r="A425" s="273" t="s">
        <v>565</v>
      </c>
      <c r="B425" s="14">
        <v>2.4</v>
      </c>
      <c r="C425" s="397"/>
      <c r="D425" s="269"/>
      <c r="E425" s="516"/>
      <c r="F425" s="296"/>
      <c r="G425" s="516"/>
      <c r="H425" s="298"/>
      <c r="M425" s="1"/>
      <c r="N425" s="1"/>
    </row>
    <row r="426" spans="1:14" ht="14.25" customHeight="1">
      <c r="A426" s="273" t="s">
        <v>564</v>
      </c>
      <c r="B426" s="15">
        <v>0</v>
      </c>
      <c r="C426" s="397"/>
      <c r="D426" s="269"/>
      <c r="E426" s="269"/>
      <c r="F426" s="296"/>
      <c r="G426" s="516"/>
      <c r="H426" s="298"/>
      <c r="M426" s="1"/>
      <c r="N426" s="1"/>
    </row>
    <row r="427" spans="1:14" ht="14.25" customHeight="1">
      <c r="A427" s="272" t="s">
        <v>563</v>
      </c>
      <c r="B427" s="604" t="s">
        <v>1064</v>
      </c>
      <c r="C427" s="269"/>
      <c r="D427" s="464">
        <f>VLOOKUP(B427,$I$23:$J$49,2,FALSE)</f>
        <v>2.11</v>
      </c>
      <c r="E427" s="311">
        <f>(((B425)*B426)-B428)*(D427+0.15)*(B424-'Data Entry Sheet'!$D$32)</f>
        <v>0</v>
      </c>
      <c r="F427" s="299" t="s">
        <v>10</v>
      </c>
      <c r="G427" s="309">
        <f>SUM(E427:E436)*((B425+81)/83.6)</f>
        <v>0</v>
      </c>
      <c r="H427" s="264"/>
      <c r="M427" s="1"/>
      <c r="N427" s="1"/>
    </row>
    <row r="428" spans="1:14" ht="13.5" thickBot="1">
      <c r="A428" s="290" t="s">
        <v>562</v>
      </c>
      <c r="B428" s="15">
        <v>0</v>
      </c>
      <c r="C428" s="269"/>
      <c r="D428" s="397"/>
      <c r="E428" s="289"/>
      <c r="F428" s="299"/>
      <c r="G428" s="297" t="s">
        <v>243</v>
      </c>
      <c r="H428" s="298"/>
      <c r="M428" s="1"/>
      <c r="N428" s="1"/>
    </row>
    <row r="429" spans="1:14" ht="14.25" customHeight="1" thickBot="1">
      <c r="A429" s="290" t="s">
        <v>561</v>
      </c>
      <c r="B429" s="604" t="s">
        <v>1064</v>
      </c>
      <c r="C429" s="269"/>
      <c r="D429" s="464">
        <f>VLOOKUP(B429,$I$4:$J$16,2,FALSE)</f>
        <v>2.8</v>
      </c>
      <c r="E429" s="311">
        <f>B428*(D429+0.15)*(B424-'Data Entry Sheet'!$D$32)</f>
        <v>0</v>
      </c>
      <c r="F429" s="299" t="s">
        <v>10</v>
      </c>
      <c r="G429" s="420" t="e">
        <f>G427/B433</f>
        <v>#DIV/0!</v>
      </c>
      <c r="H429" s="264"/>
      <c r="M429" s="1"/>
      <c r="N429" s="1"/>
    </row>
    <row r="430" spans="1:14" ht="14.25" customHeight="1">
      <c r="A430" s="290" t="s">
        <v>560</v>
      </c>
      <c r="B430" s="604">
        <v>0</v>
      </c>
      <c r="C430" s="397"/>
      <c r="D430" s="516"/>
      <c r="E430" s="305"/>
      <c r="F430" s="299"/>
      <c r="G430" s="470" t="s">
        <v>127</v>
      </c>
      <c r="H430" s="298"/>
      <c r="M430" s="1"/>
      <c r="N430" s="1"/>
    </row>
    <row r="431" spans="1:14" ht="14.25" customHeight="1">
      <c r="A431" s="290" t="s">
        <v>559</v>
      </c>
      <c r="B431" s="604">
        <v>0</v>
      </c>
      <c r="C431" s="397"/>
      <c r="D431" s="516"/>
      <c r="E431" s="305"/>
      <c r="F431" s="299"/>
      <c r="G431" s="309">
        <f>+IF(A441="UFH",(G427*0.71/85),((+IF(D445="dp+type21",14.5)+IF(D445="SC_type11",7.3)+IF(D445="SC",7)+IF(D445="DC_type22",14.5))*(A445*B445))/1000000)</f>
        <v>4.38</v>
      </c>
      <c r="H431" s="298" t="s">
        <v>244</v>
      </c>
      <c r="M431" s="1"/>
      <c r="N431" s="1"/>
    </row>
    <row r="432" spans="1:14" ht="14.25" customHeight="1">
      <c r="A432" s="290" t="s">
        <v>558</v>
      </c>
      <c r="B432" s="604" t="s">
        <v>1064</v>
      </c>
      <c r="C432" s="269"/>
      <c r="D432" s="464">
        <f>VLOOKUP(B432,$I$81:$J$100,2,FALSE)</f>
        <v>0.2</v>
      </c>
      <c r="E432" s="311">
        <f>((B430-B431)*(D432+0.15)*(B424-'Data Entry Sheet'!D448))+(B431*(B424-'Data Entry Sheet'!$D$32)*2.8)</f>
        <v>0</v>
      </c>
      <c r="F432" s="299" t="s">
        <v>10</v>
      </c>
      <c r="G432" s="516"/>
      <c r="H432" s="298"/>
      <c r="M432" s="1"/>
      <c r="N432" s="1"/>
    </row>
    <row r="433" spans="1:14" ht="14.25" customHeight="1">
      <c r="A433" s="290" t="s">
        <v>557</v>
      </c>
      <c r="B433" s="604">
        <v>0</v>
      </c>
      <c r="C433" s="397"/>
      <c r="D433" s="305"/>
      <c r="E433" s="305"/>
      <c r="F433" s="300"/>
      <c r="G433" s="516"/>
      <c r="H433" s="298"/>
      <c r="M433" s="1"/>
      <c r="N433" s="1"/>
    </row>
    <row r="434" spans="1:14" ht="12.75" customHeight="1">
      <c r="A434" s="290" t="s">
        <v>556</v>
      </c>
      <c r="B434" s="604" t="s">
        <v>1064</v>
      </c>
      <c r="C434" s="269"/>
      <c r="D434" s="464">
        <f>VLOOKUP(B434,$I$54:$J$75,2,FALSE)</f>
        <v>1</v>
      </c>
      <c r="E434" s="311">
        <f>B433*(D434+0.15)*(B424-( IF(B434="suspended wood ",'Data Entry Sheet'!$D$32,'Data Entry Sheet'!$D$33)))</f>
        <v>0</v>
      </c>
      <c r="F434" s="299" t="s">
        <v>10</v>
      </c>
      <c r="G434" s="516"/>
      <c r="H434" s="298"/>
      <c r="M434" s="1"/>
      <c r="N434" s="1"/>
    </row>
    <row r="435" spans="1:14" ht="14.25" customHeight="1">
      <c r="A435" s="290"/>
      <c r="B435" s="289"/>
      <c r="C435" s="516"/>
      <c r="D435" s="307"/>
      <c r="E435" s="307"/>
      <c r="F435" s="299"/>
      <c r="G435" s="516"/>
      <c r="H435" s="298"/>
      <c r="M435" s="1"/>
      <c r="N435" s="1"/>
    </row>
    <row r="436" spans="1:14" ht="14.25" customHeight="1">
      <c r="A436" s="291" t="s">
        <v>555</v>
      </c>
      <c r="B436" s="604" t="s">
        <v>972</v>
      </c>
      <c r="C436" s="269"/>
      <c r="D436" s="464">
        <f>VLOOKUP(B436,$I$113:J539,2,FALSE)</f>
        <v>1.5</v>
      </c>
      <c r="E436" s="311">
        <f>(B424-'Data Entry Sheet'!$D$32)*0.33*(B433*B425)*D436</f>
        <v>0</v>
      </c>
      <c r="F436" s="299" t="s">
        <v>10</v>
      </c>
      <c r="G436" s="516"/>
      <c r="H436" s="298"/>
      <c r="M436" s="1"/>
      <c r="N436" s="1"/>
    </row>
    <row r="437" spans="1:14" ht="14.25" customHeight="1">
      <c r="A437" s="268"/>
      <c r="B437" s="289"/>
      <c r="C437" s="289"/>
      <c r="D437" s="289"/>
      <c r="E437" s="289"/>
      <c r="F437" s="301"/>
      <c r="G437" s="421"/>
      <c r="H437" s="264"/>
      <c r="M437" s="1"/>
      <c r="N437" s="1"/>
    </row>
    <row r="438" spans="1:14" ht="14.25" customHeight="1">
      <c r="A438" s="718" t="s">
        <v>554</v>
      </c>
      <c r="B438" s="289"/>
      <c r="C438" s="289"/>
      <c r="D438" s="289"/>
      <c r="E438" s="289"/>
      <c r="F438" s="289"/>
      <c r="G438" s="299"/>
      <c r="H438" s="302"/>
      <c r="M438" s="1"/>
      <c r="N438" s="1"/>
    </row>
    <row r="439" spans="1:14" ht="14.25" customHeight="1">
      <c r="A439" s="718"/>
      <c r="C439" s="289"/>
      <c r="D439" s="289"/>
      <c r="E439" s="421"/>
      <c r="F439" s="421"/>
      <c r="G439" s="421"/>
      <c r="H439" s="298"/>
      <c r="M439" s="1"/>
      <c r="N439" s="1"/>
    </row>
    <row r="440" spans="1:14" ht="14.25" customHeight="1">
      <c r="A440" s="551" t="s">
        <v>751</v>
      </c>
      <c r="B440" s="469" t="s">
        <v>993</v>
      </c>
      <c r="C440" s="289"/>
      <c r="D440" s="269" t="s">
        <v>1062</v>
      </c>
      <c r="E440" s="289"/>
      <c r="F440" s="289"/>
      <c r="G440" s="421"/>
      <c r="H440" s="298"/>
      <c r="M440" s="1"/>
      <c r="N440" s="1"/>
    </row>
    <row r="441" spans="1:14" ht="14.25" customHeight="1">
      <c r="A441" s="133" t="s">
        <v>1081</v>
      </c>
      <c r="B441" s="133" t="s">
        <v>460</v>
      </c>
      <c r="C441" s="289"/>
      <c r="D441" s="133" t="s">
        <v>1063</v>
      </c>
      <c r="F441" s="312">
        <f>+IF(A441="UFH",G427/344)+IF(A441="radiators",0)</f>
        <v>0</v>
      </c>
      <c r="G441" s="289" t="s">
        <v>527</v>
      </c>
      <c r="H441" s="298"/>
      <c r="M441" s="1"/>
      <c r="N441" s="1"/>
    </row>
    <row r="442" spans="1:14" ht="14.25" customHeight="1">
      <c r="C442" s="289"/>
      <c r="D442" s="289"/>
      <c r="E442" s="289"/>
      <c r="F442" s="289"/>
      <c r="G442" s="421"/>
      <c r="H442" s="298"/>
      <c r="M442" s="1"/>
      <c r="N442" s="1"/>
    </row>
    <row r="443" spans="1:14" ht="14.25" customHeight="1">
      <c r="A443" s="268"/>
      <c r="B443" s="289"/>
      <c r="C443" s="289"/>
      <c r="D443" s="289"/>
      <c r="E443" s="289"/>
      <c r="F443" s="301"/>
      <c r="G443" s="722" t="s">
        <v>553</v>
      </c>
      <c r="H443" s="264"/>
      <c r="M443" s="1"/>
      <c r="N443" s="1"/>
    </row>
    <row r="444" spans="1:14" ht="14.25" customHeight="1">
      <c r="A444" s="468" t="s">
        <v>245</v>
      </c>
      <c r="B444" s="469" t="s">
        <v>126</v>
      </c>
      <c r="C444" s="289"/>
      <c r="D444" s="469" t="s">
        <v>14</v>
      </c>
      <c r="E444" s="469" t="s">
        <v>246</v>
      </c>
      <c r="F444" s="469" t="s">
        <v>15</v>
      </c>
      <c r="G444" s="723"/>
      <c r="H444" s="298"/>
      <c r="M444" s="1"/>
      <c r="N444" s="1"/>
    </row>
    <row r="445" spans="1:14" ht="14.25" customHeight="1">
      <c r="A445" s="23">
        <v>600</v>
      </c>
      <c r="B445" s="11">
        <v>1000</v>
      </c>
      <c r="C445" s="289"/>
      <c r="D445" s="11" t="s">
        <v>832</v>
      </c>
      <c r="E445" s="312">
        <f>A445*B445*1.05*(+IF(D445="SC_type11",0.000764)+IF(D445="DC_type22",0.001421)+IF(D445="DP+type21",0.001121))*('Data Entry Sheet'!$I$28/(B424+30))</f>
        <v>471.88235294117646</v>
      </c>
      <c r="F445" s="428" t="e">
        <f>+IF(A441="Radiators",((E445/G427)-1),"UFH")</f>
        <v>#DIV/0!</v>
      </c>
      <c r="G445" s="309" t="e">
        <f>IF(A441="Radiators",(((-1*F445)*(B424-'Data Entry Sheet'!$D$32))+'Data Entry Sheet'!$D$32),-10)</f>
        <v>#DIV/0!</v>
      </c>
      <c r="H445" s="303" t="s">
        <v>53</v>
      </c>
      <c r="M445" s="1"/>
      <c r="N445" s="1"/>
    </row>
    <row r="446" spans="1:14" ht="14.25" customHeight="1">
      <c r="A446" s="273"/>
      <c r="C446" s="289"/>
      <c r="D446" s="289"/>
      <c r="E446" s="289"/>
      <c r="F446" s="439" t="s">
        <v>199</v>
      </c>
      <c r="G446" s="440" t="e">
        <f>B424-#REF!</f>
        <v>#REF!</v>
      </c>
      <c r="H446" s="298"/>
      <c r="M446" s="1"/>
      <c r="N446" s="1"/>
    </row>
    <row r="447" spans="1:14" ht="14.25" customHeight="1">
      <c r="A447" s="273" t="s">
        <v>552</v>
      </c>
      <c r="B447" s="289"/>
      <c r="C447" s="289"/>
      <c r="D447" s="289"/>
      <c r="E447" s="289"/>
      <c r="F447" s="289"/>
      <c r="G447" s="309">
        <f>'Data Entry Sheet'!$I$29*G427</f>
        <v>0</v>
      </c>
      <c r="H447" s="298" t="s">
        <v>10</v>
      </c>
      <c r="M447" s="1"/>
      <c r="N447" s="1"/>
    </row>
    <row r="448" spans="1:14" ht="14.25" customHeight="1">
      <c r="A448" s="273" t="s">
        <v>551</v>
      </c>
      <c r="B448" s="289"/>
      <c r="C448" s="289"/>
      <c r="D448" s="308"/>
      <c r="E448" s="289"/>
      <c r="F448" s="289"/>
      <c r="G448" s="422"/>
      <c r="H448" s="298"/>
      <c r="M448" s="1"/>
      <c r="N448" s="1"/>
    </row>
    <row r="449" spans="1:14" ht="14.25" customHeight="1">
      <c r="A449" s="273"/>
      <c r="B449" s="289"/>
      <c r="C449" s="289"/>
      <c r="D449" s="308"/>
      <c r="E449" s="289"/>
      <c r="F449" s="289"/>
      <c r="G449" s="422"/>
      <c r="H449" s="298"/>
      <c r="M449" s="1"/>
      <c r="N449" s="1"/>
    </row>
    <row r="450" spans="1:14" ht="14.25" customHeight="1">
      <c r="A450" s="468" t="s">
        <v>550</v>
      </c>
      <c r="B450" s="469" t="s">
        <v>549</v>
      </c>
      <c r="C450" s="469"/>
      <c r="D450" s="469" t="s">
        <v>14</v>
      </c>
      <c r="E450" s="469"/>
      <c r="F450" s="469"/>
      <c r="G450" s="470"/>
      <c r="H450" s="471"/>
      <c r="M450" s="1"/>
      <c r="N450" s="1"/>
    </row>
    <row r="451" spans="1:14" ht="14.25" customHeight="1">
      <c r="A451" s="315">
        <f>A445</f>
        <v>600</v>
      </c>
      <c r="B451" s="316">
        <f>G427/(A445*0.001421)*(30/('Data Entry Sheet'!$I$28-B424))</f>
        <v>0</v>
      </c>
      <c r="C451" s="289"/>
      <c r="D451" s="316" t="s">
        <v>548</v>
      </c>
      <c r="E451" s="289"/>
      <c r="F451" s="289"/>
      <c r="G451" s="470"/>
      <c r="H451" s="471"/>
      <c r="M451" s="1"/>
      <c r="N451" s="1"/>
    </row>
    <row r="452" spans="1:14" ht="14.25" customHeight="1" thickBot="1">
      <c r="A452" s="472"/>
      <c r="B452" s="306"/>
      <c r="C452" s="306"/>
      <c r="D452" s="306"/>
      <c r="E452" s="306"/>
      <c r="F452" s="306"/>
      <c r="G452" s="423"/>
      <c r="H452" s="304"/>
      <c r="M452" s="1"/>
      <c r="N452" s="1"/>
    </row>
    <row r="453" spans="1:14" ht="14.25" customHeight="1" thickBot="1">
      <c r="M453" s="1"/>
      <c r="N453" s="1"/>
    </row>
    <row r="454" spans="1:14" ht="14.25" customHeight="1">
      <c r="A454" s="719" t="s">
        <v>70</v>
      </c>
      <c r="B454" s="292"/>
      <c r="C454" s="293"/>
      <c r="D454" s="293"/>
      <c r="E454" s="293"/>
      <c r="F454" s="294"/>
      <c r="G454" s="419"/>
      <c r="H454" s="295"/>
      <c r="M454" s="1"/>
      <c r="N454" s="1"/>
    </row>
    <row r="455" spans="1:14" ht="14.25" customHeight="1">
      <c r="A455" s="720"/>
      <c r="B455" s="13" t="s">
        <v>440</v>
      </c>
      <c r="C455" s="269"/>
      <c r="D455" s="299"/>
      <c r="E455" s="269"/>
      <c r="F455" s="269"/>
      <c r="G455" s="516"/>
      <c r="H455" s="264"/>
      <c r="M455" s="1"/>
      <c r="N455" s="1"/>
    </row>
    <row r="456" spans="1:14" ht="14.25" customHeight="1">
      <c r="A456" s="273" t="s">
        <v>568</v>
      </c>
      <c r="B456" s="14">
        <v>21</v>
      </c>
      <c r="C456" s="397"/>
      <c r="D456" s="516" t="s">
        <v>567</v>
      </c>
      <c r="E456" s="516" t="s">
        <v>9</v>
      </c>
      <c r="F456" s="296"/>
      <c r="G456" s="297" t="s">
        <v>566</v>
      </c>
      <c r="H456" s="298"/>
      <c r="M456" s="1"/>
      <c r="N456" s="1"/>
    </row>
    <row r="457" spans="1:14" ht="12.75">
      <c r="A457" s="273" t="s">
        <v>565</v>
      </c>
      <c r="B457" s="14">
        <v>2.4</v>
      </c>
      <c r="C457" s="397"/>
      <c r="D457" s="269"/>
      <c r="E457" s="516"/>
      <c r="F457" s="296"/>
      <c r="G457" s="516"/>
      <c r="H457" s="298"/>
      <c r="M457" s="1"/>
      <c r="N457" s="1"/>
    </row>
    <row r="458" spans="1:14" ht="14.25" customHeight="1">
      <c r="A458" s="273" t="s">
        <v>564</v>
      </c>
      <c r="B458" s="15">
        <v>0</v>
      </c>
      <c r="C458" s="397"/>
      <c r="D458" s="269"/>
      <c r="E458" s="269"/>
      <c r="F458" s="296"/>
      <c r="G458" s="516"/>
      <c r="H458" s="298"/>
      <c r="M458" s="1"/>
      <c r="N458" s="1"/>
    </row>
    <row r="459" spans="1:14" ht="14.25" customHeight="1">
      <c r="A459" s="272" t="s">
        <v>563</v>
      </c>
      <c r="B459" s="604" t="s">
        <v>1064</v>
      </c>
      <c r="C459" s="269"/>
      <c r="D459" s="464">
        <f>VLOOKUP(B459,$I$23:$J$49,2,FALSE)</f>
        <v>2.11</v>
      </c>
      <c r="E459" s="311">
        <f>(((B457)*B458)-B460)*(D459+0.15)*(B456-'Data Entry Sheet'!$D$32)</f>
        <v>0</v>
      </c>
      <c r="F459" s="299" t="s">
        <v>10</v>
      </c>
      <c r="G459" s="309">
        <f>SUM(E459:E468)*((B457+81)/83.6)</f>
        <v>0</v>
      </c>
      <c r="H459" s="264"/>
      <c r="M459" s="1"/>
      <c r="N459" s="1"/>
    </row>
    <row r="460" spans="1:14" ht="14.25" customHeight="1" thickBot="1">
      <c r="A460" s="290" t="s">
        <v>562</v>
      </c>
      <c r="B460" s="15">
        <v>0</v>
      </c>
      <c r="C460" s="269"/>
      <c r="D460" s="397"/>
      <c r="E460" s="289"/>
      <c r="F460" s="299"/>
      <c r="G460" s="297" t="s">
        <v>243</v>
      </c>
      <c r="H460" s="298"/>
      <c r="M460" s="1"/>
      <c r="N460" s="1"/>
    </row>
    <row r="461" spans="1:14" ht="14.25" customHeight="1" thickBot="1">
      <c r="A461" s="290" t="s">
        <v>561</v>
      </c>
      <c r="B461" s="604" t="s">
        <v>1064</v>
      </c>
      <c r="C461" s="269"/>
      <c r="D461" s="464">
        <f>VLOOKUP(B461,$I$4:$J$16,2,FALSE)</f>
        <v>2.8</v>
      </c>
      <c r="E461" s="311">
        <f>B460*(D461+0.15)*(B456-'Data Entry Sheet'!$D$32)</f>
        <v>0</v>
      </c>
      <c r="F461" s="299" t="s">
        <v>10</v>
      </c>
      <c r="G461" s="420" t="e">
        <f>G459/B465</f>
        <v>#DIV/0!</v>
      </c>
      <c r="H461" s="264"/>
      <c r="M461" s="1"/>
      <c r="N461" s="1"/>
    </row>
    <row r="462" spans="1:14" ht="14.25" customHeight="1">
      <c r="A462" s="290" t="s">
        <v>560</v>
      </c>
      <c r="B462" s="604">
        <v>0</v>
      </c>
      <c r="C462" s="397"/>
      <c r="D462" s="516"/>
      <c r="E462" s="305"/>
      <c r="F462" s="299"/>
      <c r="G462" s="470" t="s">
        <v>127</v>
      </c>
      <c r="H462" s="298"/>
      <c r="M462" s="1"/>
      <c r="N462" s="1"/>
    </row>
    <row r="463" spans="1:14" ht="14.25" customHeight="1">
      <c r="A463" s="290" t="s">
        <v>559</v>
      </c>
      <c r="B463" s="604">
        <v>0</v>
      </c>
      <c r="C463" s="397"/>
      <c r="D463" s="516"/>
      <c r="E463" s="305"/>
      <c r="F463" s="299"/>
      <c r="G463" s="309">
        <f>+IF(A473="UFH",(G459*0.71/85),((+IF(D477="dp+type21",14.5)+IF(D477="SC_type11",7.3)+IF(D477="SC",7)+IF(D477="DC_type22",14.5))*(A477*B477))/1000000)</f>
        <v>4.38</v>
      </c>
      <c r="H463" s="298" t="s">
        <v>244</v>
      </c>
      <c r="M463" s="1"/>
      <c r="N463" s="1"/>
    </row>
    <row r="464" spans="1:14" ht="12.75" customHeight="1">
      <c r="A464" s="290" t="s">
        <v>558</v>
      </c>
      <c r="B464" s="604" t="s">
        <v>1064</v>
      </c>
      <c r="C464" s="269"/>
      <c r="D464" s="464">
        <f>VLOOKUP(B464,$I$81:$J$100,2,FALSE)</f>
        <v>0.2</v>
      </c>
      <c r="E464" s="311">
        <f>((B462-B463)*(D464+0.15)*(B456-'Data Entry Sheet'!D480))+(B463*(B456-'Data Entry Sheet'!$D$32)*2.8)</f>
        <v>0</v>
      </c>
      <c r="F464" s="299" t="s">
        <v>10</v>
      </c>
      <c r="G464" s="516"/>
      <c r="H464" s="298"/>
      <c r="M464" s="1"/>
      <c r="N464" s="1"/>
    </row>
    <row r="465" spans="1:14" ht="14.25" customHeight="1">
      <c r="A465" s="290" t="s">
        <v>557</v>
      </c>
      <c r="B465" s="604">
        <v>0</v>
      </c>
      <c r="C465" s="397"/>
      <c r="D465" s="305"/>
      <c r="E465" s="305"/>
      <c r="F465" s="300"/>
      <c r="G465" s="516"/>
      <c r="H465" s="298"/>
      <c r="M465" s="1"/>
      <c r="N465" s="1"/>
    </row>
    <row r="466" spans="1:14" ht="14.25" customHeight="1">
      <c r="A466" s="290" t="s">
        <v>556</v>
      </c>
      <c r="B466" s="604" t="s">
        <v>1064</v>
      </c>
      <c r="C466" s="269"/>
      <c r="D466" s="464">
        <f>VLOOKUP(B466,$I$54:$J$75,2,FALSE)</f>
        <v>1</v>
      </c>
      <c r="E466" s="311">
        <f>B465*(D466+0.15)*(B456-( IF(B466="suspended wood ",'Data Entry Sheet'!$D$32,'Data Entry Sheet'!$D$33)))</f>
        <v>0</v>
      </c>
      <c r="F466" s="299" t="s">
        <v>10</v>
      </c>
      <c r="G466" s="516"/>
      <c r="H466" s="298"/>
      <c r="M466" s="1"/>
      <c r="N466" s="1"/>
    </row>
    <row r="467" spans="1:14" ht="14.25" customHeight="1">
      <c r="A467" s="290"/>
      <c r="B467" s="289"/>
      <c r="C467" s="516"/>
      <c r="D467" s="307"/>
      <c r="E467" s="307"/>
      <c r="F467" s="299"/>
      <c r="G467" s="516"/>
      <c r="H467" s="298"/>
      <c r="M467" s="1"/>
      <c r="N467" s="1"/>
    </row>
    <row r="468" spans="1:14" ht="14.25" customHeight="1">
      <c r="A468" s="291" t="s">
        <v>555</v>
      </c>
      <c r="B468" s="604" t="s">
        <v>972</v>
      </c>
      <c r="C468" s="269"/>
      <c r="D468" s="464">
        <f>VLOOKUP(B468,$I$113:J571,2,FALSE)</f>
        <v>1.5</v>
      </c>
      <c r="E468" s="311">
        <f>(B456-'Data Entry Sheet'!$D$32)*0.33*(B465*B457)*D468</f>
        <v>0</v>
      </c>
      <c r="F468" s="299" t="s">
        <v>10</v>
      </c>
      <c r="G468" s="516"/>
      <c r="H468" s="298"/>
      <c r="M468" s="1"/>
      <c r="N468" s="1"/>
    </row>
    <row r="469" spans="1:14" ht="14.25" customHeight="1">
      <c r="A469" s="268"/>
      <c r="B469" s="289"/>
      <c r="C469" s="289"/>
      <c r="D469" s="289"/>
      <c r="E469" s="289"/>
      <c r="F469" s="301"/>
      <c r="G469" s="421"/>
      <c r="H469" s="264"/>
      <c r="M469" s="1"/>
      <c r="N469" s="1"/>
    </row>
    <row r="470" spans="1:14" ht="14.25" customHeight="1">
      <c r="A470" s="718" t="s">
        <v>554</v>
      </c>
      <c r="B470" s="289"/>
      <c r="C470" s="289"/>
      <c r="D470" s="289"/>
      <c r="E470" s="289"/>
      <c r="F470" s="289"/>
      <c r="G470" s="299"/>
      <c r="H470" s="302"/>
      <c r="M470" s="1"/>
      <c r="N470" s="1"/>
    </row>
    <row r="471" spans="1:14" ht="14.25" customHeight="1">
      <c r="A471" s="718"/>
      <c r="C471" s="289"/>
      <c r="D471" s="289"/>
      <c r="E471" s="421"/>
      <c r="F471" s="421"/>
      <c r="G471" s="421"/>
      <c r="H471" s="298"/>
      <c r="M471" s="1"/>
      <c r="N471" s="1"/>
    </row>
    <row r="472" spans="1:14" ht="14.25" customHeight="1">
      <c r="A472" s="551" t="s">
        <v>751</v>
      </c>
      <c r="B472" s="469" t="s">
        <v>993</v>
      </c>
      <c r="C472" s="289"/>
      <c r="D472" s="269" t="s">
        <v>1062</v>
      </c>
      <c r="E472" s="289"/>
      <c r="F472" s="289"/>
      <c r="G472" s="421"/>
      <c r="H472" s="298"/>
      <c r="M472" s="1"/>
      <c r="N472" s="1"/>
    </row>
    <row r="473" spans="1:14" ht="14.25" customHeight="1">
      <c r="A473" s="133" t="s">
        <v>1081</v>
      </c>
      <c r="B473" s="133" t="s">
        <v>460</v>
      </c>
      <c r="C473" s="289"/>
      <c r="D473" s="133" t="s">
        <v>1063</v>
      </c>
      <c r="F473" s="312">
        <f>+IF(A473="UFH",G459/344)+IF(A473="radiators",0)</f>
        <v>0</v>
      </c>
      <c r="G473" s="289" t="s">
        <v>527</v>
      </c>
      <c r="H473" s="298"/>
      <c r="M473" s="1"/>
      <c r="N473" s="1"/>
    </row>
    <row r="474" spans="1:14" ht="14.25" customHeight="1">
      <c r="C474" s="289"/>
      <c r="D474" s="289"/>
      <c r="E474" s="289"/>
      <c r="F474" s="289"/>
      <c r="G474" s="421"/>
      <c r="H474" s="298"/>
      <c r="M474" s="1"/>
      <c r="N474" s="1"/>
    </row>
    <row r="475" spans="1:14" ht="14.25" customHeight="1">
      <c r="A475" s="268"/>
      <c r="B475" s="289"/>
      <c r="C475" s="289"/>
      <c r="D475" s="289"/>
      <c r="E475" s="289"/>
      <c r="F475" s="301"/>
      <c r="G475" s="722" t="s">
        <v>553</v>
      </c>
      <c r="H475" s="264"/>
      <c r="M475" s="1"/>
      <c r="N475" s="1"/>
    </row>
    <row r="476" spans="1:14" ht="14.25" customHeight="1">
      <c r="A476" s="468" t="s">
        <v>245</v>
      </c>
      <c r="B476" s="469" t="s">
        <v>126</v>
      </c>
      <c r="C476" s="289"/>
      <c r="D476" s="469" t="s">
        <v>14</v>
      </c>
      <c r="E476" s="469" t="s">
        <v>246</v>
      </c>
      <c r="F476" s="469" t="s">
        <v>15</v>
      </c>
      <c r="G476" s="723"/>
      <c r="H476" s="298"/>
      <c r="M476" s="1"/>
      <c r="N476" s="1"/>
    </row>
    <row r="477" spans="1:14" ht="14.25" customHeight="1">
      <c r="A477" s="23">
        <v>600</v>
      </c>
      <c r="B477" s="11">
        <v>1000</v>
      </c>
      <c r="C477" s="289"/>
      <c r="D477" s="11" t="s">
        <v>832</v>
      </c>
      <c r="E477" s="312">
        <f>A477*B477*1.05*(+IF(D477="SC_type11",0.000764)+IF(D477="DC_type22",0.001421)+IF(D477="DP+type21",0.001121))*('Data Entry Sheet'!$I$28/(B456+30))</f>
        <v>471.88235294117646</v>
      </c>
      <c r="F477" s="428" t="e">
        <f>+IF(A473="Radiators",((E477/G459)-1),"UFH")</f>
        <v>#DIV/0!</v>
      </c>
      <c r="G477" s="309" t="e">
        <f>IF(A473="Radiators",(((-1*F477)*(B456-'Data Entry Sheet'!$D$32))+'Data Entry Sheet'!$D$32),-10)</f>
        <v>#DIV/0!</v>
      </c>
      <c r="H477" s="303" t="s">
        <v>53</v>
      </c>
      <c r="M477" s="1"/>
      <c r="N477" s="1"/>
    </row>
    <row r="478" spans="1:14" ht="14.25" customHeight="1">
      <c r="A478" s="273"/>
      <c r="C478" s="289"/>
      <c r="D478" s="289"/>
      <c r="E478" s="289"/>
      <c r="F478" s="439" t="s">
        <v>199</v>
      </c>
      <c r="G478" s="440" t="e">
        <f>B456-#REF!</f>
        <v>#REF!</v>
      </c>
      <c r="H478" s="298"/>
      <c r="M478" s="1"/>
      <c r="N478" s="1"/>
    </row>
    <row r="479" spans="1:14" ht="14.25" customHeight="1">
      <c r="A479" s="273" t="s">
        <v>552</v>
      </c>
      <c r="B479" s="289"/>
      <c r="C479" s="289"/>
      <c r="D479" s="289"/>
      <c r="E479" s="289"/>
      <c r="F479" s="289"/>
      <c r="G479" s="309">
        <f>'Data Entry Sheet'!$I$29*G459</f>
        <v>0</v>
      </c>
      <c r="H479" s="298" t="s">
        <v>10</v>
      </c>
      <c r="M479" s="1"/>
      <c r="N479" s="1"/>
    </row>
    <row r="480" spans="1:14" ht="14.25" customHeight="1">
      <c r="A480" s="273" t="s">
        <v>551</v>
      </c>
      <c r="B480" s="289"/>
      <c r="C480" s="289"/>
      <c r="D480" s="308"/>
      <c r="E480" s="289"/>
      <c r="F480" s="289"/>
      <c r="G480" s="422"/>
      <c r="H480" s="298"/>
      <c r="M480" s="1"/>
      <c r="N480" s="1"/>
    </row>
    <row r="481" spans="1:14" ht="14.25" customHeight="1">
      <c r="A481" s="273"/>
      <c r="B481" s="289"/>
      <c r="C481" s="289"/>
      <c r="D481" s="308"/>
      <c r="E481" s="289"/>
      <c r="F481" s="289"/>
      <c r="G481" s="422"/>
      <c r="H481" s="298"/>
      <c r="M481" s="1"/>
      <c r="N481" s="1"/>
    </row>
    <row r="482" spans="1:14" ht="14.25" customHeight="1">
      <c r="A482" s="468" t="s">
        <v>550</v>
      </c>
      <c r="B482" s="469" t="s">
        <v>549</v>
      </c>
      <c r="C482" s="469"/>
      <c r="D482" s="469" t="s">
        <v>14</v>
      </c>
      <c r="E482" s="469"/>
      <c r="F482" s="469"/>
      <c r="G482" s="470"/>
      <c r="H482" s="471"/>
      <c r="M482" s="1"/>
      <c r="N482" s="1"/>
    </row>
    <row r="483" spans="1:14" ht="14.25" customHeight="1">
      <c r="A483" s="315">
        <f>A477</f>
        <v>600</v>
      </c>
      <c r="B483" s="316">
        <f>G459/(A477*0.001421)*(30/('Data Entry Sheet'!$I$28-B456))</f>
        <v>0</v>
      </c>
      <c r="C483" s="289"/>
      <c r="D483" s="316" t="s">
        <v>548</v>
      </c>
      <c r="E483" s="289"/>
      <c r="F483" s="289"/>
      <c r="G483" s="470"/>
      <c r="H483" s="471"/>
      <c r="M483" s="1"/>
      <c r="N483" s="1"/>
    </row>
    <row r="484" spans="1:14" ht="14.25" customHeight="1" thickBot="1">
      <c r="A484" s="472"/>
      <c r="B484" s="306"/>
      <c r="C484" s="306"/>
      <c r="D484" s="306"/>
      <c r="E484" s="306"/>
      <c r="F484" s="306"/>
      <c r="G484" s="423"/>
      <c r="H484" s="304"/>
      <c r="M484" s="1"/>
      <c r="N484" s="1"/>
    </row>
    <row r="485" spans="1:14" ht="14.25" customHeight="1" thickBot="1">
      <c r="M485" s="1"/>
      <c r="N485" s="1"/>
    </row>
    <row r="486" spans="1:14" ht="12.75">
      <c r="A486" s="719" t="s">
        <v>70</v>
      </c>
      <c r="B486" s="292"/>
      <c r="C486" s="293"/>
      <c r="D486" s="293"/>
      <c r="E486" s="293"/>
      <c r="F486" s="294"/>
      <c r="G486" s="419"/>
      <c r="H486" s="295"/>
      <c r="M486" s="1"/>
      <c r="N486" s="1"/>
    </row>
    <row r="487" spans="1:14" ht="14.25" customHeight="1">
      <c r="A487" s="720"/>
      <c r="B487" s="13" t="s">
        <v>494</v>
      </c>
      <c r="C487" s="269"/>
      <c r="D487" s="299"/>
      <c r="E487" s="269"/>
      <c r="F487" s="269"/>
      <c r="G487" s="516"/>
      <c r="H487" s="264"/>
      <c r="M487" s="1"/>
      <c r="N487" s="1"/>
    </row>
    <row r="488" spans="1:14" ht="14.25" customHeight="1">
      <c r="A488" s="273" t="s">
        <v>568</v>
      </c>
      <c r="B488" s="14">
        <v>21</v>
      </c>
      <c r="C488" s="397"/>
      <c r="D488" s="516" t="s">
        <v>567</v>
      </c>
      <c r="E488" s="516" t="s">
        <v>9</v>
      </c>
      <c r="F488" s="296"/>
      <c r="G488" s="297" t="s">
        <v>566</v>
      </c>
      <c r="H488" s="298"/>
      <c r="M488" s="1"/>
      <c r="N488" s="1"/>
    </row>
    <row r="489" spans="1:14" ht="14.25" customHeight="1">
      <c r="A489" s="273" t="s">
        <v>565</v>
      </c>
      <c r="B489" s="14">
        <v>2.4</v>
      </c>
      <c r="C489" s="397"/>
      <c r="D489" s="269"/>
      <c r="E489" s="516"/>
      <c r="F489" s="296"/>
      <c r="G489" s="516"/>
      <c r="H489" s="298"/>
      <c r="M489" s="1"/>
      <c r="N489" s="1"/>
    </row>
    <row r="490" spans="1:14" ht="14.25" customHeight="1">
      <c r="A490" s="273" t="s">
        <v>564</v>
      </c>
      <c r="B490" s="15">
        <v>0</v>
      </c>
      <c r="C490" s="397"/>
      <c r="D490" s="269"/>
      <c r="E490" s="269"/>
      <c r="F490" s="296"/>
      <c r="G490" s="516"/>
      <c r="H490" s="298"/>
      <c r="M490" s="1"/>
      <c r="N490" s="1"/>
    </row>
    <row r="491" spans="1:14" ht="14.25" customHeight="1">
      <c r="A491" s="272" t="s">
        <v>563</v>
      </c>
      <c r="B491" s="604" t="s">
        <v>1064</v>
      </c>
      <c r="C491" s="269"/>
      <c r="D491" s="464">
        <f>VLOOKUP(B491,$I$23:$J$49,2,FALSE)</f>
        <v>2.11</v>
      </c>
      <c r="E491" s="311">
        <f>(((B489)*B490)-B492)*(D491+0.15)*(B488-'Data Entry Sheet'!$D$32)</f>
        <v>0</v>
      </c>
      <c r="F491" s="299" t="s">
        <v>10</v>
      </c>
      <c r="G491" s="309">
        <f>SUM(E491:E500)*((B489+81)/83.6)</f>
        <v>0</v>
      </c>
      <c r="H491" s="264"/>
      <c r="M491" s="1"/>
      <c r="N491" s="1"/>
    </row>
    <row r="492" spans="1:14" ht="14.25" customHeight="1" thickBot="1">
      <c r="A492" s="290" t="s">
        <v>562</v>
      </c>
      <c r="B492" s="15">
        <v>0</v>
      </c>
      <c r="C492" s="269"/>
      <c r="D492" s="397"/>
      <c r="E492" s="289"/>
      <c r="F492" s="299"/>
      <c r="G492" s="297" t="s">
        <v>243</v>
      </c>
      <c r="H492" s="298"/>
      <c r="M492" s="1"/>
      <c r="N492" s="1"/>
    </row>
    <row r="493" spans="1:14" ht="14.25" customHeight="1" thickBot="1">
      <c r="A493" s="290" t="s">
        <v>561</v>
      </c>
      <c r="B493" s="604" t="s">
        <v>1064</v>
      </c>
      <c r="C493" s="269"/>
      <c r="D493" s="464">
        <f>VLOOKUP(B493,$I$4:$J$16,2,FALSE)</f>
        <v>2.8</v>
      </c>
      <c r="E493" s="311">
        <f>B492*(D493+0.15)*(B488-'Data Entry Sheet'!$D$32)</f>
        <v>0</v>
      </c>
      <c r="F493" s="299" t="s">
        <v>10</v>
      </c>
      <c r="G493" s="420" t="e">
        <f>G491/B497</f>
        <v>#DIV/0!</v>
      </c>
      <c r="H493" s="264"/>
      <c r="M493" s="1"/>
      <c r="N493" s="1"/>
    </row>
    <row r="494" spans="1:14" ht="12.75" customHeight="1">
      <c r="A494" s="290" t="s">
        <v>560</v>
      </c>
      <c r="B494" s="604">
        <v>0</v>
      </c>
      <c r="C494" s="397"/>
      <c r="D494" s="516"/>
      <c r="E494" s="305"/>
      <c r="F494" s="299"/>
      <c r="G494" s="470" t="s">
        <v>127</v>
      </c>
      <c r="H494" s="298"/>
      <c r="M494" s="1"/>
      <c r="N494" s="1"/>
    </row>
    <row r="495" spans="1:14" ht="14.25" customHeight="1">
      <c r="A495" s="290" t="s">
        <v>559</v>
      </c>
      <c r="B495" s="604">
        <v>0</v>
      </c>
      <c r="C495" s="397"/>
      <c r="D495" s="516"/>
      <c r="E495" s="305"/>
      <c r="F495" s="299"/>
      <c r="G495" s="309">
        <f>+IF(A505="UFH",(G491*0.71/85),((+IF(D509="dp+type21",14.5)+IF(D509="SC_type11",7.3)+IF(D509="SC",7)+IF(D509="DC_type22",14.5))*(A509*B509))/1000000)</f>
        <v>4.38</v>
      </c>
      <c r="H495" s="298" t="s">
        <v>244</v>
      </c>
      <c r="M495" s="1"/>
      <c r="N495" s="1"/>
    </row>
    <row r="496" spans="1:14" ht="14.25" customHeight="1">
      <c r="A496" s="290" t="s">
        <v>558</v>
      </c>
      <c r="B496" s="604" t="s">
        <v>1064</v>
      </c>
      <c r="C496" s="269"/>
      <c r="D496" s="464">
        <f>VLOOKUP(B496,$I$81:$J$100,2,FALSE)</f>
        <v>0.2</v>
      </c>
      <c r="E496" s="311">
        <f>((B494-B495)*(D496+0.15)*(B488-'Data Entry Sheet'!D512))+(B495*(B488-'Data Entry Sheet'!$D$32)*2.8)</f>
        <v>0</v>
      </c>
      <c r="F496" s="299" t="s">
        <v>10</v>
      </c>
      <c r="G496" s="516"/>
      <c r="H496" s="298"/>
      <c r="M496" s="1"/>
      <c r="N496" s="1"/>
    </row>
    <row r="497" spans="1:14" ht="14.25" customHeight="1">
      <c r="A497" s="290" t="s">
        <v>557</v>
      </c>
      <c r="B497" s="604">
        <v>0</v>
      </c>
      <c r="C497" s="397"/>
      <c r="D497" s="305"/>
      <c r="E497" s="305"/>
      <c r="F497" s="300"/>
      <c r="G497" s="516"/>
      <c r="H497" s="298"/>
      <c r="M497" s="1"/>
      <c r="N497" s="1"/>
    </row>
    <row r="498" spans="1:14" ht="14.25" customHeight="1">
      <c r="A498" s="290" t="s">
        <v>556</v>
      </c>
      <c r="B498" s="604" t="s">
        <v>1064</v>
      </c>
      <c r="C498" s="269"/>
      <c r="D498" s="464">
        <f>VLOOKUP(B498,$I$54:$J$75,2,FALSE)</f>
        <v>1</v>
      </c>
      <c r="E498" s="311">
        <f>B497*(D498+0.15)*(B488-( IF(B498="suspended wood ",'Data Entry Sheet'!$D$32,'Data Entry Sheet'!$D$33)))</f>
        <v>0</v>
      </c>
      <c r="F498" s="299" t="s">
        <v>10</v>
      </c>
      <c r="G498" s="516"/>
      <c r="H498" s="298"/>
      <c r="M498" s="1"/>
      <c r="N498" s="1"/>
    </row>
    <row r="499" spans="1:14" ht="14.25" customHeight="1">
      <c r="A499" s="290"/>
      <c r="B499" s="289"/>
      <c r="C499" s="516"/>
      <c r="D499" s="307"/>
      <c r="E499" s="307"/>
      <c r="F499" s="299"/>
      <c r="G499" s="516"/>
      <c r="H499" s="298"/>
      <c r="M499" s="1"/>
      <c r="N499" s="1"/>
    </row>
    <row r="500" spans="1:14" ht="14.25" customHeight="1">
      <c r="A500" s="291" t="s">
        <v>555</v>
      </c>
      <c r="B500" s="604" t="s">
        <v>972</v>
      </c>
      <c r="C500" s="269"/>
      <c r="D500" s="464">
        <f>VLOOKUP(B500,$I$113:J603,2,FALSE)</f>
        <v>1.5</v>
      </c>
      <c r="E500" s="311">
        <f>(B488-'Data Entry Sheet'!$D$32)*0.33*(B497*B489)*D500</f>
        <v>0</v>
      </c>
      <c r="F500" s="299" t="s">
        <v>10</v>
      </c>
      <c r="G500" s="516"/>
      <c r="H500" s="298"/>
      <c r="M500" s="1"/>
      <c r="N500" s="1"/>
    </row>
    <row r="501" spans="1:14" ht="14.25" customHeight="1">
      <c r="A501" s="268"/>
      <c r="B501" s="289"/>
      <c r="C501" s="289"/>
      <c r="D501" s="289"/>
      <c r="E501" s="289"/>
      <c r="F501" s="301"/>
      <c r="G501" s="421"/>
      <c r="H501" s="264"/>
      <c r="M501" s="1"/>
      <c r="N501" s="1"/>
    </row>
    <row r="502" spans="1:14" ht="14.25" customHeight="1">
      <c r="A502" s="718" t="s">
        <v>554</v>
      </c>
      <c r="B502" s="289"/>
      <c r="C502" s="289"/>
      <c r="D502" s="289"/>
      <c r="E502" s="289"/>
      <c r="F502" s="289"/>
      <c r="G502" s="299"/>
      <c r="H502" s="302"/>
      <c r="M502" s="1"/>
      <c r="N502" s="1"/>
    </row>
    <row r="503" spans="1:14" ht="14.25" customHeight="1">
      <c r="A503" s="718"/>
      <c r="C503" s="289"/>
      <c r="D503" s="289"/>
      <c r="E503" s="421"/>
      <c r="F503" s="421"/>
      <c r="G503" s="421"/>
      <c r="H503" s="298"/>
      <c r="M503" s="1"/>
      <c r="N503" s="1"/>
    </row>
    <row r="504" spans="1:14" ht="14.25" customHeight="1">
      <c r="A504" s="551" t="s">
        <v>751</v>
      </c>
      <c r="B504" s="469" t="s">
        <v>993</v>
      </c>
      <c r="C504" s="289"/>
      <c r="D504" s="269" t="s">
        <v>1062</v>
      </c>
      <c r="E504" s="289"/>
      <c r="F504" s="289"/>
      <c r="G504" s="421"/>
      <c r="H504" s="298"/>
      <c r="M504" s="1"/>
      <c r="N504" s="1"/>
    </row>
    <row r="505" spans="1:14" ht="14.25" customHeight="1">
      <c r="A505" s="133" t="s">
        <v>1081</v>
      </c>
      <c r="B505" s="133" t="s">
        <v>460</v>
      </c>
      <c r="C505" s="289"/>
      <c r="D505" s="133" t="s">
        <v>1063</v>
      </c>
      <c r="F505" s="312">
        <f>+IF(A505="UFH",G491/344)+IF(A505="radiators",0)</f>
        <v>0</v>
      </c>
      <c r="G505" s="289" t="s">
        <v>527</v>
      </c>
      <c r="H505" s="298"/>
      <c r="M505" s="1"/>
      <c r="N505" s="1"/>
    </row>
    <row r="506" spans="1:14" ht="14.25" customHeight="1">
      <c r="C506" s="289"/>
      <c r="D506" s="289"/>
      <c r="E506" s="289"/>
      <c r="F506" s="289"/>
      <c r="G506" s="421"/>
      <c r="H506" s="298"/>
      <c r="M506" s="1"/>
      <c r="N506" s="1"/>
    </row>
    <row r="507" spans="1:14" ht="14.25" customHeight="1">
      <c r="A507" s="268"/>
      <c r="B507" s="289"/>
      <c r="C507" s="289"/>
      <c r="D507" s="289"/>
      <c r="E507" s="289"/>
      <c r="F507" s="301"/>
      <c r="G507" s="722" t="s">
        <v>553</v>
      </c>
      <c r="H507" s="264"/>
      <c r="M507" s="1"/>
      <c r="N507" s="1"/>
    </row>
    <row r="508" spans="1:14" ht="14.25" customHeight="1">
      <c r="A508" s="468" t="s">
        <v>245</v>
      </c>
      <c r="B508" s="469" t="s">
        <v>126</v>
      </c>
      <c r="C508" s="289"/>
      <c r="D508" s="469" t="s">
        <v>14</v>
      </c>
      <c r="E508" s="469" t="s">
        <v>246</v>
      </c>
      <c r="F508" s="469" t="s">
        <v>15</v>
      </c>
      <c r="G508" s="723"/>
      <c r="H508" s="298"/>
      <c r="M508" s="1"/>
      <c r="N508" s="1"/>
    </row>
    <row r="509" spans="1:14" ht="14.25" customHeight="1">
      <c r="A509" s="23">
        <v>600</v>
      </c>
      <c r="B509" s="11">
        <v>1000</v>
      </c>
      <c r="C509" s="289"/>
      <c r="D509" s="11" t="s">
        <v>832</v>
      </c>
      <c r="E509" s="312">
        <f>A509*B509*1.05*(+IF(D509="SC_type11",0.000764)+IF(D509="DC_type22",0.001421)+IF(D509="DP+type21",0.001121))*('Data Entry Sheet'!$I$28/(B488+30))</f>
        <v>471.88235294117646</v>
      </c>
      <c r="F509" s="428" t="e">
        <f>+IF(A505="Radiators",((E509/G491)-1),"UFH")</f>
        <v>#DIV/0!</v>
      </c>
      <c r="G509" s="309" t="e">
        <f>IF(A505="Radiators",(((-1*F509)*(B488-'Data Entry Sheet'!$D$32))+'Data Entry Sheet'!$D$32),-10)</f>
        <v>#DIV/0!</v>
      </c>
      <c r="H509" s="303" t="s">
        <v>53</v>
      </c>
      <c r="M509" s="1"/>
      <c r="N509" s="1"/>
    </row>
    <row r="510" spans="1:14" ht="14.25" customHeight="1">
      <c r="A510" s="273"/>
      <c r="C510" s="289"/>
      <c r="D510" s="289"/>
      <c r="E510" s="289"/>
      <c r="F510" s="439" t="s">
        <v>199</v>
      </c>
      <c r="G510" s="440" t="e">
        <f>B488-#REF!</f>
        <v>#REF!</v>
      </c>
      <c r="H510" s="298"/>
      <c r="M510" s="1"/>
      <c r="N510" s="1"/>
    </row>
    <row r="511" spans="1:14" ht="14.25" customHeight="1">
      <c r="A511" s="273" t="s">
        <v>552</v>
      </c>
      <c r="B511" s="289"/>
      <c r="C511" s="289"/>
      <c r="D511" s="289"/>
      <c r="E511" s="289"/>
      <c r="F511" s="289"/>
      <c r="G511" s="309">
        <f>'Data Entry Sheet'!$I$29*G491</f>
        <v>0</v>
      </c>
      <c r="H511" s="298" t="s">
        <v>10</v>
      </c>
      <c r="M511" s="1"/>
      <c r="N511" s="1"/>
    </row>
    <row r="512" spans="1:14" ht="14.25" customHeight="1">
      <c r="A512" s="273" t="s">
        <v>551</v>
      </c>
      <c r="B512" s="289"/>
      <c r="C512" s="289"/>
      <c r="D512" s="308"/>
      <c r="E512" s="289"/>
      <c r="F512" s="289"/>
      <c r="G512" s="422"/>
      <c r="H512" s="298"/>
      <c r="M512" s="1"/>
      <c r="N512" s="1"/>
    </row>
    <row r="513" spans="1:14" ht="14.25" customHeight="1">
      <c r="A513" s="273"/>
      <c r="B513" s="289"/>
      <c r="C513" s="289"/>
      <c r="D513" s="308"/>
      <c r="E513" s="289"/>
      <c r="F513" s="289"/>
      <c r="G513" s="422"/>
      <c r="H513" s="298"/>
      <c r="M513" s="1"/>
      <c r="N513" s="1"/>
    </row>
    <row r="514" spans="1:14" ht="14.25" customHeight="1">
      <c r="A514" s="468" t="s">
        <v>550</v>
      </c>
      <c r="B514" s="469" t="s">
        <v>549</v>
      </c>
      <c r="C514" s="469"/>
      <c r="D514" s="469" t="s">
        <v>14</v>
      </c>
      <c r="E514" s="469"/>
      <c r="F514" s="469"/>
      <c r="G514" s="470"/>
      <c r="H514" s="471"/>
      <c r="M514" s="1"/>
      <c r="N514" s="1"/>
    </row>
    <row r="515" spans="1:14" ht="12.75">
      <c r="A515" s="315">
        <f>A509</f>
        <v>600</v>
      </c>
      <c r="B515" s="316">
        <f>G491/(A509*0.001421)*(30/('Data Entry Sheet'!$I$28-B488))</f>
        <v>0</v>
      </c>
      <c r="C515" s="289"/>
      <c r="D515" s="316" t="s">
        <v>548</v>
      </c>
      <c r="E515" s="289"/>
      <c r="F515" s="289"/>
      <c r="G515" s="470"/>
      <c r="H515" s="471"/>
      <c r="M515" s="1"/>
      <c r="N515" s="1"/>
    </row>
    <row r="516" spans="1:14" ht="14.25" customHeight="1" thickBot="1">
      <c r="A516" s="472"/>
      <c r="B516" s="306"/>
      <c r="C516" s="306"/>
      <c r="D516" s="306"/>
      <c r="E516" s="306"/>
      <c r="F516" s="306"/>
      <c r="G516" s="423"/>
      <c r="H516" s="304"/>
      <c r="M516" s="1"/>
      <c r="N516" s="1"/>
    </row>
    <row r="517" spans="1:14" ht="14.25" customHeight="1" thickBot="1">
      <c r="M517" s="1"/>
      <c r="N517" s="1"/>
    </row>
    <row r="518" spans="1:14" ht="14.25" customHeight="1">
      <c r="A518" s="719" t="s">
        <v>70</v>
      </c>
      <c r="B518" s="292"/>
      <c r="C518" s="293"/>
      <c r="D518" s="293"/>
      <c r="E518" s="293"/>
      <c r="F518" s="294"/>
      <c r="G518" s="419"/>
      <c r="H518" s="295"/>
      <c r="M518" s="1"/>
      <c r="N518" s="1"/>
    </row>
    <row r="519" spans="1:14" ht="14.25" customHeight="1">
      <c r="A519" s="720"/>
      <c r="B519" s="13" t="s">
        <v>495</v>
      </c>
      <c r="C519" s="269"/>
      <c r="D519" s="299"/>
      <c r="E519" s="269"/>
      <c r="F519" s="269"/>
      <c r="G519" s="516"/>
      <c r="H519" s="264"/>
      <c r="M519" s="1"/>
      <c r="N519" s="1"/>
    </row>
    <row r="520" spans="1:14" ht="14.25" customHeight="1">
      <c r="A520" s="273" t="s">
        <v>568</v>
      </c>
      <c r="B520" s="14">
        <v>21</v>
      </c>
      <c r="C520" s="397"/>
      <c r="D520" s="516" t="s">
        <v>567</v>
      </c>
      <c r="E520" s="516" t="s">
        <v>9</v>
      </c>
      <c r="F520" s="296"/>
      <c r="G520" s="297" t="s">
        <v>566</v>
      </c>
      <c r="H520" s="298"/>
      <c r="M520" s="1"/>
      <c r="N520" s="1"/>
    </row>
    <row r="521" spans="1:14" ht="14.25" customHeight="1">
      <c r="A521" s="273" t="s">
        <v>565</v>
      </c>
      <c r="B521" s="14">
        <v>2.4</v>
      </c>
      <c r="C521" s="397"/>
      <c r="D521" s="269"/>
      <c r="E521" s="516"/>
      <c r="F521" s="296"/>
      <c r="G521" s="516"/>
      <c r="H521" s="298"/>
      <c r="M521" s="1"/>
      <c r="N521" s="1"/>
    </row>
    <row r="522" spans="1:14" ht="14.25" customHeight="1">
      <c r="A522" s="273" t="s">
        <v>564</v>
      </c>
      <c r="B522" s="15">
        <v>0</v>
      </c>
      <c r="C522" s="397"/>
      <c r="D522" s="269"/>
      <c r="E522" s="269"/>
      <c r="F522" s="296"/>
      <c r="G522" s="516"/>
      <c r="H522" s="298"/>
      <c r="M522" s="1"/>
      <c r="N522" s="1"/>
    </row>
    <row r="523" spans="1:14" ht="14.25" customHeight="1">
      <c r="A523" s="272" t="s">
        <v>563</v>
      </c>
      <c r="B523" s="604" t="s">
        <v>1064</v>
      </c>
      <c r="C523" s="269"/>
      <c r="D523" s="464">
        <f>VLOOKUP(B523,$I$23:$J$49,2,FALSE)</f>
        <v>2.11</v>
      </c>
      <c r="E523" s="311">
        <f>(((B521)*B522)-B524)*(D523+0.15)*(B520-'Data Entry Sheet'!$D$32)</f>
        <v>0</v>
      </c>
      <c r="F523" s="299" t="s">
        <v>10</v>
      </c>
      <c r="G523" s="309">
        <f>SUM(E523:E532)*((B521+81)/83.6)</f>
        <v>0</v>
      </c>
      <c r="H523" s="264"/>
      <c r="M523" s="1"/>
      <c r="N523" s="1"/>
    </row>
    <row r="524" spans="1:14" ht="12.75" customHeight="1" thickBot="1">
      <c r="A524" s="290" t="s">
        <v>562</v>
      </c>
      <c r="B524" s="15">
        <v>0</v>
      </c>
      <c r="C524" s="269"/>
      <c r="D524" s="397"/>
      <c r="E524" s="289"/>
      <c r="F524" s="299"/>
      <c r="G524" s="297" t="s">
        <v>243</v>
      </c>
      <c r="H524" s="298"/>
      <c r="M524" s="1"/>
      <c r="N524" s="1"/>
    </row>
    <row r="525" spans="1:14" ht="14.25" customHeight="1" thickBot="1">
      <c r="A525" s="290" t="s">
        <v>561</v>
      </c>
      <c r="B525" s="604" t="s">
        <v>1064</v>
      </c>
      <c r="C525" s="269"/>
      <c r="D525" s="464">
        <f>VLOOKUP(B525,$I$4:$J$16,2,FALSE)</f>
        <v>2.8</v>
      </c>
      <c r="E525" s="311">
        <f>B524*(D525+0.15)*(B520-'Data Entry Sheet'!$D$32)</f>
        <v>0</v>
      </c>
      <c r="F525" s="299" t="s">
        <v>10</v>
      </c>
      <c r="G525" s="420" t="e">
        <f>G523/B529</f>
        <v>#DIV/0!</v>
      </c>
      <c r="H525" s="264"/>
      <c r="M525" s="1"/>
      <c r="N525" s="1"/>
    </row>
    <row r="526" spans="1:14" ht="14.25" customHeight="1">
      <c r="A526" s="290" t="s">
        <v>560</v>
      </c>
      <c r="B526" s="604">
        <v>0</v>
      </c>
      <c r="C526" s="397"/>
      <c r="D526" s="516"/>
      <c r="E526" s="305"/>
      <c r="F526" s="299"/>
      <c r="G526" s="470" t="s">
        <v>127</v>
      </c>
      <c r="H526" s="298"/>
      <c r="M526" s="1"/>
      <c r="N526" s="1"/>
    </row>
    <row r="527" spans="1:14" ht="14.25" customHeight="1">
      <c r="A527" s="290" t="s">
        <v>559</v>
      </c>
      <c r="B527" s="604">
        <v>0</v>
      </c>
      <c r="C527" s="397"/>
      <c r="D527" s="516"/>
      <c r="E527" s="305"/>
      <c r="F527" s="299"/>
      <c r="G527" s="309">
        <f>+IF(A537="UFH",(G523*0.71/85),((+IF(D541="dp+type21",14.5)+IF(D541="SC_type11",7.3)+IF(D541="SC",7)+IF(D541="DC_type22",14.5))*(A541*B541))/1000000)</f>
        <v>4.38</v>
      </c>
      <c r="H527" s="298" t="s">
        <v>244</v>
      </c>
      <c r="M527" s="1"/>
      <c r="N527" s="1"/>
    </row>
    <row r="528" spans="1:14" ht="14.25" customHeight="1">
      <c r="A528" s="290" t="s">
        <v>558</v>
      </c>
      <c r="B528" s="604" t="s">
        <v>1064</v>
      </c>
      <c r="C528" s="269"/>
      <c r="D528" s="464">
        <f>VLOOKUP(B528,$I$81:$J$100,2,FALSE)</f>
        <v>0.2</v>
      </c>
      <c r="E528" s="311">
        <f>((B526-B527)*(D528+0.15)*(B520-'Data Entry Sheet'!D544))+(B527*(B520-'Data Entry Sheet'!$D$32)*2.8)</f>
        <v>0</v>
      </c>
      <c r="F528" s="299" t="s">
        <v>10</v>
      </c>
      <c r="G528" s="516"/>
      <c r="H528" s="298"/>
      <c r="M528" s="1"/>
      <c r="N528" s="1"/>
    </row>
    <row r="529" spans="1:14" ht="14.25" customHeight="1">
      <c r="A529" s="290" t="s">
        <v>557</v>
      </c>
      <c r="B529" s="604">
        <v>0</v>
      </c>
      <c r="C529" s="397"/>
      <c r="D529" s="305"/>
      <c r="E529" s="305"/>
      <c r="F529" s="300"/>
      <c r="G529" s="516"/>
      <c r="H529" s="298"/>
      <c r="M529" s="1"/>
      <c r="N529" s="1"/>
    </row>
    <row r="530" spans="1:14" ht="14.25" customHeight="1">
      <c r="A530" s="290" t="s">
        <v>556</v>
      </c>
      <c r="B530" s="604" t="s">
        <v>1064</v>
      </c>
      <c r="C530" s="269"/>
      <c r="D530" s="464">
        <f>VLOOKUP(B530,$I$54:$J$75,2,FALSE)</f>
        <v>1</v>
      </c>
      <c r="E530" s="311">
        <f>B529*(D530+0.15)*(B520-( IF(B530="suspended wood ",'Data Entry Sheet'!$D$32,'Data Entry Sheet'!$D$33)))</f>
        <v>0</v>
      </c>
      <c r="F530" s="299" t="s">
        <v>10</v>
      </c>
      <c r="G530" s="516"/>
      <c r="H530" s="298"/>
      <c r="M530" s="1"/>
      <c r="N530" s="1"/>
    </row>
    <row r="531" spans="1:14" ht="14.25" customHeight="1">
      <c r="A531" s="290"/>
      <c r="B531" s="289"/>
      <c r="C531" s="516"/>
      <c r="D531" s="307"/>
      <c r="E531" s="307"/>
      <c r="F531" s="299"/>
      <c r="G531" s="516"/>
      <c r="H531" s="298"/>
      <c r="M531" s="1"/>
      <c r="N531" s="1"/>
    </row>
    <row r="532" spans="1:14" ht="14.25" customHeight="1">
      <c r="A532" s="291" t="s">
        <v>555</v>
      </c>
      <c r="B532" s="604" t="s">
        <v>972</v>
      </c>
      <c r="C532" s="269"/>
      <c r="D532" s="464">
        <f>VLOOKUP(B532,$I$113:J635,2,FALSE)</f>
        <v>1.5</v>
      </c>
      <c r="E532" s="311">
        <f>(B520-'Data Entry Sheet'!$D$32)*0.33*(B529*B521)*D532</f>
        <v>0</v>
      </c>
      <c r="F532" s="299" t="s">
        <v>10</v>
      </c>
      <c r="G532" s="516"/>
      <c r="H532" s="298"/>
      <c r="M532" s="1"/>
      <c r="N532" s="1"/>
    </row>
    <row r="533" spans="1:14" ht="14.25" customHeight="1">
      <c r="A533" s="268"/>
      <c r="B533" s="289"/>
      <c r="C533" s="289"/>
      <c r="D533" s="289"/>
      <c r="E533" s="289"/>
      <c r="F533" s="301"/>
      <c r="G533" s="421"/>
      <c r="H533" s="264"/>
      <c r="M533" s="1"/>
      <c r="N533" s="1"/>
    </row>
    <row r="534" spans="1:14" ht="14.25" customHeight="1">
      <c r="A534" s="718" t="s">
        <v>554</v>
      </c>
      <c r="B534" s="289"/>
      <c r="C534" s="289"/>
      <c r="D534" s="289"/>
      <c r="E534" s="289"/>
      <c r="F534" s="289"/>
      <c r="G534" s="299"/>
      <c r="H534" s="302"/>
      <c r="M534" s="1"/>
      <c r="N534" s="1"/>
    </row>
    <row r="535" spans="1:14" ht="14.25" customHeight="1">
      <c r="A535" s="718"/>
      <c r="C535" s="289"/>
      <c r="D535" s="289"/>
      <c r="E535" s="421"/>
      <c r="F535" s="421"/>
      <c r="G535" s="421"/>
      <c r="H535" s="298"/>
      <c r="M535" s="1"/>
      <c r="N535" s="1"/>
    </row>
    <row r="536" spans="1:14" ht="14.25" customHeight="1">
      <c r="A536" s="551" t="s">
        <v>751</v>
      </c>
      <c r="B536" s="469" t="s">
        <v>993</v>
      </c>
      <c r="C536" s="289"/>
      <c r="D536" s="269" t="s">
        <v>1062</v>
      </c>
      <c r="E536" s="289"/>
      <c r="F536" s="289"/>
      <c r="G536" s="421"/>
      <c r="H536" s="298"/>
      <c r="M536" s="1"/>
      <c r="N536" s="1"/>
    </row>
    <row r="537" spans="1:14" ht="14.25" customHeight="1">
      <c r="A537" s="133" t="s">
        <v>1081</v>
      </c>
      <c r="B537" s="133" t="s">
        <v>460</v>
      </c>
      <c r="C537" s="289"/>
      <c r="D537" s="133" t="s">
        <v>1063</v>
      </c>
      <c r="F537" s="312">
        <f>+IF(A537="UFH",G523/344)+IF(A537="radiators",0)</f>
        <v>0</v>
      </c>
      <c r="G537" s="289" t="s">
        <v>527</v>
      </c>
      <c r="H537" s="298"/>
      <c r="M537" s="1"/>
      <c r="N537" s="1"/>
    </row>
    <row r="538" spans="1:14" ht="14.25" customHeight="1">
      <c r="C538" s="289"/>
      <c r="D538" s="289"/>
      <c r="E538" s="289"/>
      <c r="F538" s="289"/>
      <c r="G538" s="421"/>
      <c r="H538" s="298"/>
      <c r="M538" s="1"/>
      <c r="N538" s="1"/>
    </row>
    <row r="539" spans="1:14" ht="14.25" customHeight="1">
      <c r="A539" s="268"/>
      <c r="B539" s="289"/>
      <c r="C539" s="289"/>
      <c r="D539" s="289"/>
      <c r="E539" s="289"/>
      <c r="F539" s="301"/>
      <c r="G539" s="722" t="s">
        <v>553</v>
      </c>
      <c r="H539" s="264"/>
      <c r="M539" s="1"/>
      <c r="N539" s="1"/>
    </row>
    <row r="540" spans="1:14" ht="14.25" customHeight="1">
      <c r="A540" s="468" t="s">
        <v>245</v>
      </c>
      <c r="B540" s="469" t="s">
        <v>126</v>
      </c>
      <c r="C540" s="289"/>
      <c r="D540" s="469" t="s">
        <v>14</v>
      </c>
      <c r="E540" s="469" t="s">
        <v>246</v>
      </c>
      <c r="F540" s="469" t="s">
        <v>15</v>
      </c>
      <c r="G540" s="723"/>
      <c r="H540" s="298"/>
      <c r="M540" s="1"/>
      <c r="N540" s="1"/>
    </row>
    <row r="541" spans="1:14" ht="14.25" customHeight="1">
      <c r="A541" s="23">
        <v>600</v>
      </c>
      <c r="B541" s="11">
        <v>1000</v>
      </c>
      <c r="C541" s="289"/>
      <c r="D541" s="11" t="s">
        <v>832</v>
      </c>
      <c r="E541" s="312">
        <f>A541*B541*1.05*(+IF(D541="SC_type11",0.000764)+IF(D541="DC_type22",0.001421)+IF(D541="DP+type21",0.001121))*('Data Entry Sheet'!$I$28/(B520+30))</f>
        <v>471.88235294117646</v>
      </c>
      <c r="F541" s="428" t="e">
        <f>+IF(A537="Radiators",((E541/G523)-1),"UFH")</f>
        <v>#DIV/0!</v>
      </c>
      <c r="G541" s="309" t="e">
        <f>IF(A537="Radiators",(((-1*F541)*(B520-'Data Entry Sheet'!$D$32))+'Data Entry Sheet'!$D$32),-10)</f>
        <v>#DIV/0!</v>
      </c>
      <c r="H541" s="303" t="s">
        <v>53</v>
      </c>
      <c r="M541" s="1"/>
      <c r="N541" s="1"/>
    </row>
    <row r="542" spans="1:14" ht="14.25" customHeight="1">
      <c r="A542" s="273"/>
      <c r="C542" s="289"/>
      <c r="D542" s="289"/>
      <c r="E542" s="289"/>
      <c r="F542" s="439" t="s">
        <v>199</v>
      </c>
      <c r="G542" s="440" t="e">
        <f>B520-#REF!</f>
        <v>#REF!</v>
      </c>
      <c r="H542" s="298"/>
      <c r="M542" s="1"/>
      <c r="N542" s="1"/>
    </row>
    <row r="543" spans="1:14" ht="14.25" customHeight="1">
      <c r="A543" s="273" t="s">
        <v>552</v>
      </c>
      <c r="B543" s="289"/>
      <c r="C543" s="289"/>
      <c r="D543" s="289"/>
      <c r="E543" s="289"/>
      <c r="F543" s="289"/>
      <c r="G543" s="309">
        <f>'Data Entry Sheet'!$I$29*G523</f>
        <v>0</v>
      </c>
      <c r="H543" s="298" t="s">
        <v>10</v>
      </c>
      <c r="M543" s="1"/>
      <c r="N543" s="1"/>
    </row>
    <row r="544" spans="1:14" ht="12.75">
      <c r="A544" s="273" t="s">
        <v>551</v>
      </c>
      <c r="B544" s="289"/>
      <c r="C544" s="289"/>
      <c r="D544" s="308"/>
      <c r="E544" s="289"/>
      <c r="F544" s="289"/>
      <c r="G544" s="422"/>
      <c r="H544" s="298"/>
      <c r="M544" s="1"/>
      <c r="N544" s="1"/>
    </row>
    <row r="545" spans="1:14" ht="14.25" customHeight="1">
      <c r="A545" s="273"/>
      <c r="B545" s="289"/>
      <c r="C545" s="289"/>
      <c r="D545" s="308"/>
      <c r="E545" s="289"/>
      <c r="F545" s="289"/>
      <c r="G545" s="422"/>
      <c r="H545" s="298"/>
      <c r="M545" s="1"/>
      <c r="N545" s="1"/>
    </row>
    <row r="546" spans="1:14" ht="14.25" customHeight="1">
      <c r="A546" s="468" t="s">
        <v>550</v>
      </c>
      <c r="B546" s="469" t="s">
        <v>549</v>
      </c>
      <c r="C546" s="469"/>
      <c r="D546" s="469" t="s">
        <v>14</v>
      </c>
      <c r="E546" s="469"/>
      <c r="F546" s="469"/>
      <c r="G546" s="470"/>
      <c r="H546" s="471"/>
      <c r="M546" s="1"/>
      <c r="N546" s="1"/>
    </row>
    <row r="547" spans="1:14" ht="14.25" customHeight="1">
      <c r="A547" s="315">
        <f>A541</f>
        <v>600</v>
      </c>
      <c r="B547" s="316">
        <f>G523/(A541*0.001421)*(30/('Data Entry Sheet'!$I$28-B520))</f>
        <v>0</v>
      </c>
      <c r="C547" s="289"/>
      <c r="D547" s="316" t="s">
        <v>548</v>
      </c>
      <c r="E547" s="289"/>
      <c r="F547" s="289"/>
      <c r="G547" s="470"/>
      <c r="H547" s="471"/>
      <c r="M547" s="1"/>
      <c r="N547" s="1"/>
    </row>
    <row r="548" spans="1:14" ht="14.25" customHeight="1" thickBot="1">
      <c r="A548" s="472"/>
      <c r="B548" s="306"/>
      <c r="C548" s="306"/>
      <c r="D548" s="306"/>
      <c r="E548" s="306"/>
      <c r="F548" s="306"/>
      <c r="G548" s="423"/>
      <c r="H548" s="304"/>
      <c r="M548" s="1"/>
      <c r="N548" s="1"/>
    </row>
    <row r="549" spans="1:14" ht="14.25" customHeight="1" thickBot="1">
      <c r="M549" s="1"/>
      <c r="N549" s="1"/>
    </row>
    <row r="550" spans="1:14" ht="14.25" customHeight="1">
      <c r="A550" s="719" t="s">
        <v>70</v>
      </c>
      <c r="B550" s="292"/>
      <c r="C550" s="293"/>
      <c r="D550" s="293"/>
      <c r="E550" s="293"/>
      <c r="F550" s="294"/>
      <c r="G550" s="419"/>
      <c r="H550" s="295"/>
      <c r="M550" s="1"/>
      <c r="N550" s="1"/>
    </row>
    <row r="551" spans="1:14" ht="14.25" customHeight="1">
      <c r="A551" s="720"/>
      <c r="B551" s="13" t="s">
        <v>496</v>
      </c>
      <c r="C551" s="269"/>
      <c r="D551" s="299"/>
      <c r="E551" s="269"/>
      <c r="F551" s="269"/>
      <c r="G551" s="516"/>
      <c r="H551" s="264"/>
      <c r="M551" s="1"/>
      <c r="N551" s="1"/>
    </row>
    <row r="552" spans="1:14" ht="14.25" customHeight="1">
      <c r="A552" s="273" t="s">
        <v>568</v>
      </c>
      <c r="B552" s="14">
        <v>21</v>
      </c>
      <c r="C552" s="397"/>
      <c r="D552" s="516" t="s">
        <v>567</v>
      </c>
      <c r="E552" s="516" t="s">
        <v>9</v>
      </c>
      <c r="F552" s="296"/>
      <c r="G552" s="297" t="s">
        <v>566</v>
      </c>
      <c r="H552" s="298"/>
      <c r="M552" s="1"/>
      <c r="N552" s="1"/>
    </row>
    <row r="553" spans="1:14" ht="14.25" customHeight="1">
      <c r="A553" s="273" t="s">
        <v>565</v>
      </c>
      <c r="B553" s="14">
        <v>2.4</v>
      </c>
      <c r="C553" s="397"/>
      <c r="D553" s="269"/>
      <c r="E553" s="516"/>
      <c r="F553" s="296"/>
      <c r="G553" s="516"/>
      <c r="H553" s="298"/>
      <c r="M553" s="1"/>
      <c r="N553" s="1"/>
    </row>
    <row r="554" spans="1:14" ht="12.75" customHeight="1">
      <c r="A554" s="273" t="s">
        <v>564</v>
      </c>
      <c r="B554" s="15">
        <v>0</v>
      </c>
      <c r="C554" s="397"/>
      <c r="D554" s="269"/>
      <c r="E554" s="269"/>
      <c r="F554" s="296"/>
      <c r="G554" s="516"/>
      <c r="H554" s="298"/>
      <c r="M554" s="1"/>
      <c r="N554" s="1"/>
    </row>
    <row r="555" spans="1:14" ht="14.25" customHeight="1">
      <c r="A555" s="272" t="s">
        <v>563</v>
      </c>
      <c r="B555" s="604" t="s">
        <v>1064</v>
      </c>
      <c r="C555" s="269"/>
      <c r="D555" s="464">
        <f>VLOOKUP(B555,$I$23:$J$49,2,FALSE)</f>
        <v>2.11</v>
      </c>
      <c r="E555" s="311">
        <f>(((B553)*B554)-B556)*(D555+0.15)*(B552-'Data Entry Sheet'!$D$32)</f>
        <v>0</v>
      </c>
      <c r="F555" s="299" t="s">
        <v>10</v>
      </c>
      <c r="G555" s="309">
        <f>SUM(E555:E564)*((B553+81)/83.6)</f>
        <v>0</v>
      </c>
      <c r="H555" s="264"/>
      <c r="M555" s="1"/>
      <c r="N555" s="1"/>
    </row>
    <row r="556" spans="1:14" ht="14.25" customHeight="1" thickBot="1">
      <c r="A556" s="290" t="s">
        <v>562</v>
      </c>
      <c r="B556" s="15">
        <v>0</v>
      </c>
      <c r="C556" s="269"/>
      <c r="D556" s="397"/>
      <c r="E556" s="289"/>
      <c r="F556" s="299"/>
      <c r="G556" s="297" t="s">
        <v>243</v>
      </c>
      <c r="H556" s="298"/>
      <c r="M556" s="1"/>
      <c r="N556" s="1"/>
    </row>
    <row r="557" spans="1:14" ht="14.25" customHeight="1" thickBot="1">
      <c r="A557" s="290" t="s">
        <v>561</v>
      </c>
      <c r="B557" s="604" t="s">
        <v>1064</v>
      </c>
      <c r="C557" s="269"/>
      <c r="D557" s="464">
        <f>VLOOKUP(B557,$I$4:$J$16,2,FALSE)</f>
        <v>2.8</v>
      </c>
      <c r="E557" s="311">
        <f>B556*(D557+0.15)*(B552-'Data Entry Sheet'!$D$32)</f>
        <v>0</v>
      </c>
      <c r="F557" s="299" t="s">
        <v>10</v>
      </c>
      <c r="G557" s="420" t="e">
        <f>G555/B561</f>
        <v>#DIV/0!</v>
      </c>
      <c r="H557" s="264"/>
      <c r="M557" s="1"/>
      <c r="N557" s="1"/>
    </row>
    <row r="558" spans="1:14" ht="14.25" customHeight="1">
      <c r="A558" s="290" t="s">
        <v>560</v>
      </c>
      <c r="B558" s="604">
        <v>0</v>
      </c>
      <c r="C558" s="397"/>
      <c r="D558" s="516"/>
      <c r="E558" s="305"/>
      <c r="F558" s="299"/>
      <c r="G558" s="470" t="s">
        <v>127</v>
      </c>
      <c r="H558" s="298"/>
      <c r="M558" s="1"/>
      <c r="N558" s="1"/>
    </row>
    <row r="559" spans="1:14" ht="14.25" customHeight="1">
      <c r="A559" s="290" t="s">
        <v>559</v>
      </c>
      <c r="B559" s="604">
        <v>0</v>
      </c>
      <c r="C559" s="397"/>
      <c r="D559" s="516"/>
      <c r="E559" s="305"/>
      <c r="F559" s="299"/>
      <c r="G559" s="309">
        <f>+IF(A569="UFH",(G555*0.71/85),((+IF(D573="dp+type21",14.5)+IF(D573="SC_type11",7.3)+IF(D573="SC",7)+IF(D573="DC_type22",14.5))*(A573*B573))/1000000)</f>
        <v>4.38</v>
      </c>
      <c r="H559" s="298" t="s">
        <v>244</v>
      </c>
      <c r="M559" s="1"/>
      <c r="N559" s="1"/>
    </row>
    <row r="560" spans="1:14" ht="14.25" customHeight="1">
      <c r="A560" s="290" t="s">
        <v>558</v>
      </c>
      <c r="B560" s="604" t="s">
        <v>1064</v>
      </c>
      <c r="C560" s="269"/>
      <c r="D560" s="464">
        <f>VLOOKUP(B560,$I$81:$J$100,2,FALSE)</f>
        <v>0.2</v>
      </c>
      <c r="E560" s="311">
        <f>((B558-B559)*(D560+0.15)*(B552-'Data Entry Sheet'!D576))+(B559*(B552-'Data Entry Sheet'!$D$32)*2.8)</f>
        <v>0</v>
      </c>
      <c r="F560" s="299" t="s">
        <v>10</v>
      </c>
      <c r="G560" s="516"/>
      <c r="H560" s="298"/>
      <c r="M560" s="1"/>
      <c r="N560" s="1"/>
    </row>
    <row r="561" spans="1:14" ht="14.25" customHeight="1">
      <c r="A561" s="290" t="s">
        <v>557</v>
      </c>
      <c r="B561" s="604">
        <v>0</v>
      </c>
      <c r="C561" s="397"/>
      <c r="D561" s="305"/>
      <c r="E561" s="305"/>
      <c r="F561" s="300"/>
      <c r="G561" s="516"/>
      <c r="H561" s="298"/>
      <c r="M561" s="1"/>
      <c r="N561" s="1"/>
    </row>
    <row r="562" spans="1:14" ht="14.25" customHeight="1">
      <c r="A562" s="290" t="s">
        <v>556</v>
      </c>
      <c r="B562" s="604" t="s">
        <v>1064</v>
      </c>
      <c r="C562" s="269"/>
      <c r="D562" s="464">
        <f>VLOOKUP(B562,$I$54:$J$75,2,FALSE)</f>
        <v>1</v>
      </c>
      <c r="E562" s="311">
        <f>B561*(D562+0.15)*(B552-( IF(B562="suspended wood ",'Data Entry Sheet'!$D$32,'Data Entry Sheet'!$D$33)))</f>
        <v>0</v>
      </c>
      <c r="F562" s="299" t="s">
        <v>10</v>
      </c>
      <c r="G562" s="516"/>
      <c r="H562" s="298"/>
      <c r="M562" s="1"/>
      <c r="N562" s="1"/>
    </row>
    <row r="563" spans="1:14" ht="14.25" customHeight="1">
      <c r="A563" s="290"/>
      <c r="B563" s="289"/>
      <c r="C563" s="516"/>
      <c r="D563" s="307"/>
      <c r="E563" s="307"/>
      <c r="F563" s="299"/>
      <c r="G563" s="516"/>
      <c r="H563" s="298"/>
      <c r="M563" s="1"/>
      <c r="N563" s="1"/>
    </row>
    <row r="564" spans="1:14" ht="14.25" customHeight="1">
      <c r="A564" s="291" t="s">
        <v>555</v>
      </c>
      <c r="B564" s="604" t="s">
        <v>972</v>
      </c>
      <c r="C564" s="269"/>
      <c r="D564" s="464">
        <f>VLOOKUP(B564,$I$113:J667,2,FALSE)</f>
        <v>1.5</v>
      </c>
      <c r="E564" s="311">
        <f>(B552-'Data Entry Sheet'!$D$32)*0.33*(B561*B553)*D564</f>
        <v>0</v>
      </c>
      <c r="F564" s="299" t="s">
        <v>10</v>
      </c>
      <c r="G564" s="516"/>
      <c r="H564" s="298"/>
      <c r="M564" s="1"/>
      <c r="N564" s="1"/>
    </row>
    <row r="565" spans="1:14" ht="14.25" customHeight="1">
      <c r="A565" s="268"/>
      <c r="B565" s="289"/>
      <c r="C565" s="289"/>
      <c r="D565" s="289"/>
      <c r="E565" s="289"/>
      <c r="F565" s="301"/>
      <c r="G565" s="421"/>
      <c r="H565" s="264"/>
      <c r="M565" s="1"/>
      <c r="N565" s="1"/>
    </row>
    <row r="566" spans="1:14" ht="14.25" customHeight="1">
      <c r="A566" s="718" t="s">
        <v>554</v>
      </c>
      <c r="B566" s="289"/>
      <c r="C566" s="289"/>
      <c r="D566" s="289"/>
      <c r="E566" s="289"/>
      <c r="F566" s="289"/>
      <c r="G566" s="299"/>
      <c r="H566" s="302"/>
      <c r="M566" s="1"/>
      <c r="N566" s="1"/>
    </row>
    <row r="567" spans="1:14" ht="14.25" customHeight="1">
      <c r="A567" s="718"/>
      <c r="C567" s="289"/>
      <c r="D567" s="289"/>
      <c r="E567" s="421"/>
      <c r="F567" s="421"/>
      <c r="G567" s="421"/>
      <c r="H567" s="298"/>
      <c r="M567" s="1"/>
      <c r="N567" s="1"/>
    </row>
    <row r="568" spans="1:14" ht="14.25" customHeight="1">
      <c r="A568" s="551" t="s">
        <v>751</v>
      </c>
      <c r="B568" s="469" t="s">
        <v>993</v>
      </c>
      <c r="C568" s="289"/>
      <c r="D568" s="269" t="s">
        <v>1062</v>
      </c>
      <c r="E568" s="289"/>
      <c r="F568" s="289"/>
      <c r="G568" s="421"/>
      <c r="H568" s="298"/>
      <c r="M568" s="1"/>
      <c r="N568" s="1"/>
    </row>
    <row r="569" spans="1:14" ht="14.25" customHeight="1">
      <c r="A569" s="133" t="s">
        <v>1081</v>
      </c>
      <c r="B569" s="133" t="s">
        <v>460</v>
      </c>
      <c r="C569" s="289"/>
      <c r="D569" s="133" t="s">
        <v>1063</v>
      </c>
      <c r="F569" s="312">
        <f>+IF(A569="UFH",G555/344)+IF(A569="radiators",0)</f>
        <v>0</v>
      </c>
      <c r="G569" s="289" t="s">
        <v>527</v>
      </c>
      <c r="H569" s="298"/>
      <c r="M569" s="1"/>
      <c r="N569" s="1"/>
    </row>
    <row r="570" spans="1:14" ht="14.25" customHeight="1">
      <c r="C570" s="289"/>
      <c r="D570" s="289"/>
      <c r="E570" s="289"/>
      <c r="F570" s="289"/>
      <c r="G570" s="421"/>
      <c r="H570" s="298"/>
      <c r="M570" s="1"/>
      <c r="N570" s="1"/>
    </row>
    <row r="571" spans="1:14" ht="14.25" customHeight="1">
      <c r="A571" s="268"/>
      <c r="B571" s="289"/>
      <c r="C571" s="289"/>
      <c r="D571" s="289"/>
      <c r="E571" s="289"/>
      <c r="F571" s="301"/>
      <c r="G571" s="722" t="s">
        <v>553</v>
      </c>
      <c r="H571" s="264"/>
      <c r="M571" s="1"/>
      <c r="N571" s="1"/>
    </row>
    <row r="572" spans="1:14" ht="14.25" customHeight="1">
      <c r="A572" s="468" t="s">
        <v>245</v>
      </c>
      <c r="B572" s="469" t="s">
        <v>126</v>
      </c>
      <c r="C572" s="289"/>
      <c r="D572" s="469" t="s">
        <v>14</v>
      </c>
      <c r="E572" s="469" t="s">
        <v>246</v>
      </c>
      <c r="F572" s="469" t="s">
        <v>15</v>
      </c>
      <c r="G572" s="723"/>
      <c r="H572" s="298"/>
      <c r="M572" s="1"/>
      <c r="N572" s="1"/>
    </row>
    <row r="573" spans="1:14" ht="12.75">
      <c r="A573" s="23">
        <v>600</v>
      </c>
      <c r="B573" s="11">
        <v>1000</v>
      </c>
      <c r="C573" s="289"/>
      <c r="D573" s="11" t="s">
        <v>832</v>
      </c>
      <c r="E573" s="312">
        <f>A573*B573*1.05*(+IF(D573="SC_type11",0.000764)+IF(D573="DC_type22",0.001421)+IF(D573="DP+type21",0.001121))*('Data Entry Sheet'!$I$28/(B552+30))</f>
        <v>471.88235294117646</v>
      </c>
      <c r="F573" s="428" t="e">
        <f>+IF(A569="Radiators",((E573/G555)-1),"UFH")</f>
        <v>#DIV/0!</v>
      </c>
      <c r="G573" s="309" t="e">
        <f>IF(A569="Radiators",(((-1*F573)*(B552-'Data Entry Sheet'!$D$32))+'Data Entry Sheet'!$D$32),-10)</f>
        <v>#DIV/0!</v>
      </c>
      <c r="H573" s="303" t="s">
        <v>53</v>
      </c>
      <c r="M573" s="1"/>
      <c r="N573" s="1"/>
    </row>
    <row r="574" spans="1:14" ht="14.25" customHeight="1">
      <c r="A574" s="273"/>
      <c r="C574" s="289"/>
      <c r="D574" s="289"/>
      <c r="E574" s="289"/>
      <c r="F574" s="439" t="s">
        <v>199</v>
      </c>
      <c r="G574" s="440" t="e">
        <f>B552-#REF!</f>
        <v>#REF!</v>
      </c>
      <c r="H574" s="298"/>
      <c r="M574" s="1"/>
      <c r="N574" s="1"/>
    </row>
    <row r="575" spans="1:14" ht="14.25" customHeight="1">
      <c r="A575" s="273" t="s">
        <v>552</v>
      </c>
      <c r="B575" s="289"/>
      <c r="C575" s="289"/>
      <c r="D575" s="289"/>
      <c r="E575" s="289"/>
      <c r="F575" s="289"/>
      <c r="G575" s="309">
        <f>'Data Entry Sheet'!$I$29*G555</f>
        <v>0</v>
      </c>
      <c r="H575" s="298" t="s">
        <v>10</v>
      </c>
      <c r="M575" s="1"/>
      <c r="N575" s="1"/>
    </row>
    <row r="576" spans="1:14" ht="14.25" customHeight="1">
      <c r="A576" s="273" t="s">
        <v>551</v>
      </c>
      <c r="B576" s="289"/>
      <c r="C576" s="289"/>
      <c r="D576" s="308"/>
      <c r="E576" s="289"/>
      <c r="F576" s="289"/>
      <c r="G576" s="422"/>
      <c r="H576" s="298"/>
      <c r="M576" s="1"/>
      <c r="N576" s="1"/>
    </row>
    <row r="577" spans="1:14" ht="14.25" customHeight="1">
      <c r="A577" s="273"/>
      <c r="B577" s="289"/>
      <c r="C577" s="289"/>
      <c r="D577" s="308"/>
      <c r="E577" s="289"/>
      <c r="F577" s="289"/>
      <c r="G577" s="422"/>
      <c r="H577" s="298"/>
      <c r="M577" s="1"/>
      <c r="N577" s="1"/>
    </row>
    <row r="578" spans="1:14" ht="14.25" customHeight="1">
      <c r="A578" s="468" t="s">
        <v>550</v>
      </c>
      <c r="B578" s="469" t="s">
        <v>549</v>
      </c>
      <c r="C578" s="469"/>
      <c r="D578" s="469" t="s">
        <v>14</v>
      </c>
      <c r="E578" s="469"/>
      <c r="F578" s="469"/>
      <c r="G578" s="470"/>
      <c r="H578" s="471"/>
      <c r="M578" s="1"/>
      <c r="N578" s="1"/>
    </row>
    <row r="579" spans="1:14" ht="14.25" customHeight="1">
      <c r="A579" s="315">
        <f>A573</f>
        <v>600</v>
      </c>
      <c r="B579" s="316">
        <f>G555/(A573*0.001421)*(30/('Data Entry Sheet'!$I$28-B552))</f>
        <v>0</v>
      </c>
      <c r="C579" s="289"/>
      <c r="D579" s="316" t="s">
        <v>548</v>
      </c>
      <c r="E579" s="289"/>
      <c r="F579" s="289"/>
      <c r="G579" s="470"/>
      <c r="H579" s="471"/>
      <c r="M579" s="1"/>
      <c r="N579" s="1"/>
    </row>
    <row r="580" spans="1:14" ht="14.25" customHeight="1" thickBot="1">
      <c r="A580" s="472"/>
      <c r="B580" s="306"/>
      <c r="C580" s="306"/>
      <c r="D580" s="306"/>
      <c r="E580" s="306"/>
      <c r="F580" s="306"/>
      <c r="G580" s="423"/>
      <c r="H580" s="304"/>
      <c r="M580" s="1"/>
      <c r="N580" s="1"/>
    </row>
    <row r="581" spans="1:14" ht="14.25" customHeight="1" thickBot="1">
      <c r="M581" s="1"/>
      <c r="N581" s="1"/>
    </row>
    <row r="582" spans="1:14" ht="14.25" customHeight="1">
      <c r="A582" s="719" t="s">
        <v>70</v>
      </c>
      <c r="B582" s="292"/>
      <c r="C582" s="293"/>
      <c r="D582" s="293"/>
      <c r="E582" s="293"/>
      <c r="F582" s="294"/>
      <c r="G582" s="419"/>
      <c r="H582" s="295"/>
      <c r="M582" s="1"/>
      <c r="N582" s="1"/>
    </row>
    <row r="583" spans="1:14" ht="14.25" customHeight="1">
      <c r="A583" s="720"/>
      <c r="B583" s="13" t="s">
        <v>497</v>
      </c>
      <c r="C583" s="269"/>
      <c r="D583" s="299"/>
      <c r="E583" s="269"/>
      <c r="F583" s="269"/>
      <c r="G583" s="516"/>
      <c r="H583" s="264"/>
      <c r="M583" s="1"/>
      <c r="N583" s="1"/>
    </row>
    <row r="584" spans="1:14" ht="12.75" customHeight="1">
      <c r="A584" s="273" t="s">
        <v>568</v>
      </c>
      <c r="B584" s="14">
        <v>21</v>
      </c>
      <c r="C584" s="397"/>
      <c r="D584" s="516" t="s">
        <v>567</v>
      </c>
      <c r="E584" s="516" t="s">
        <v>9</v>
      </c>
      <c r="F584" s="296"/>
      <c r="G584" s="297" t="s">
        <v>566</v>
      </c>
      <c r="H584" s="298"/>
      <c r="M584" s="1"/>
      <c r="N584" s="1"/>
    </row>
    <row r="585" spans="1:14" ht="14.25" customHeight="1">
      <c r="A585" s="273" t="s">
        <v>565</v>
      </c>
      <c r="B585" s="14">
        <v>2.4</v>
      </c>
      <c r="C585" s="397"/>
      <c r="D585" s="269"/>
      <c r="E585" s="516"/>
      <c r="F585" s="296"/>
      <c r="G585" s="516"/>
      <c r="H585" s="298"/>
      <c r="M585" s="1"/>
      <c r="N585" s="1"/>
    </row>
    <row r="586" spans="1:14" ht="14.25" customHeight="1">
      <c r="A586" s="273" t="s">
        <v>564</v>
      </c>
      <c r="B586" s="15">
        <v>0</v>
      </c>
      <c r="C586" s="397"/>
      <c r="D586" s="269"/>
      <c r="E586" s="269"/>
      <c r="F586" s="296"/>
      <c r="G586" s="516"/>
      <c r="H586" s="298"/>
      <c r="M586" s="1"/>
      <c r="N586" s="1"/>
    </row>
    <row r="587" spans="1:14" ht="14.25" customHeight="1">
      <c r="A587" s="272" t="s">
        <v>563</v>
      </c>
      <c r="B587" s="604" t="s">
        <v>1064</v>
      </c>
      <c r="C587" s="269"/>
      <c r="D587" s="464">
        <f>VLOOKUP(B587,$I$23:$J$49,2,FALSE)</f>
        <v>2.11</v>
      </c>
      <c r="E587" s="311">
        <f>(((B585)*B586)-B588)*(D587+0.15)*(B584-'Data Entry Sheet'!$D$32)</f>
        <v>0</v>
      </c>
      <c r="F587" s="299" t="s">
        <v>10</v>
      </c>
      <c r="G587" s="309">
        <f>SUM(E587:E596)*((B585+81)/83.6)</f>
        <v>0</v>
      </c>
      <c r="H587" s="264"/>
      <c r="M587" s="1"/>
      <c r="N587" s="1"/>
    </row>
    <row r="588" spans="1:14" ht="14.25" customHeight="1" thickBot="1">
      <c r="A588" s="290" t="s">
        <v>562</v>
      </c>
      <c r="B588" s="15">
        <v>0</v>
      </c>
      <c r="C588" s="269"/>
      <c r="D588" s="397"/>
      <c r="E588" s="289"/>
      <c r="F588" s="299"/>
      <c r="G588" s="297" t="s">
        <v>243</v>
      </c>
      <c r="H588" s="298"/>
      <c r="M588" s="1"/>
      <c r="N588" s="1"/>
    </row>
    <row r="589" spans="1:14" ht="14.25" customHeight="1" thickBot="1">
      <c r="A589" s="290" t="s">
        <v>561</v>
      </c>
      <c r="B589" s="604" t="s">
        <v>1064</v>
      </c>
      <c r="C589" s="269"/>
      <c r="D589" s="464">
        <f>VLOOKUP(B589,$I$4:$J$16,2,FALSE)</f>
        <v>2.8</v>
      </c>
      <c r="E589" s="311">
        <f>B588*(D589+0.15)*(B584-'Data Entry Sheet'!$D$32)</f>
        <v>0</v>
      </c>
      <c r="F589" s="299" t="s">
        <v>10</v>
      </c>
      <c r="G589" s="420" t="e">
        <f>G587/B593</f>
        <v>#DIV/0!</v>
      </c>
      <c r="H589" s="264"/>
      <c r="M589" s="1"/>
      <c r="N589" s="1"/>
    </row>
    <row r="590" spans="1:14" ht="14.25" customHeight="1">
      <c r="A590" s="290" t="s">
        <v>560</v>
      </c>
      <c r="B590" s="604">
        <v>0</v>
      </c>
      <c r="C590" s="397"/>
      <c r="D590" s="516"/>
      <c r="E590" s="305"/>
      <c r="F590" s="299"/>
      <c r="G590" s="470" t="s">
        <v>127</v>
      </c>
      <c r="H590" s="298"/>
      <c r="M590" s="1"/>
      <c r="N590" s="1"/>
    </row>
    <row r="591" spans="1:14" ht="14.25" customHeight="1">
      <c r="A591" s="290" t="s">
        <v>559</v>
      </c>
      <c r="B591" s="604">
        <v>0</v>
      </c>
      <c r="C591" s="397"/>
      <c r="D591" s="516"/>
      <c r="E591" s="305"/>
      <c r="F591" s="299"/>
      <c r="G591" s="309">
        <f>+IF(A601="UFH",(G587*0.71/85),((+IF(D605="dp+type21",14.5)+IF(D605="SC_type11",7.3)+IF(D605="SC",7)+IF(D605="DC_type22",14.5))*(A605*B605))/1000000)</f>
        <v>4.38</v>
      </c>
      <c r="H591" s="298" t="s">
        <v>244</v>
      </c>
      <c r="M591" s="1"/>
      <c r="N591" s="1"/>
    </row>
    <row r="592" spans="1:14" ht="14.25" customHeight="1">
      <c r="A592" s="290" t="s">
        <v>558</v>
      </c>
      <c r="B592" s="604" t="s">
        <v>1064</v>
      </c>
      <c r="C592" s="269"/>
      <c r="D592" s="464">
        <f>VLOOKUP(B592,$I$81:$J$100,2,FALSE)</f>
        <v>0.2</v>
      </c>
      <c r="E592" s="311">
        <f>((B590-B591)*(D592+0.15)*(B584-'Data Entry Sheet'!D608))+(B591*(B584-'Data Entry Sheet'!$D$32)*2.8)</f>
        <v>0</v>
      </c>
      <c r="F592" s="299" t="s">
        <v>10</v>
      </c>
      <c r="G592" s="516"/>
      <c r="H592" s="298"/>
      <c r="M592" s="1"/>
      <c r="N592" s="1"/>
    </row>
    <row r="593" spans="1:17" ht="14.25" customHeight="1">
      <c r="A593" s="290" t="s">
        <v>557</v>
      </c>
      <c r="B593" s="604">
        <v>0</v>
      </c>
      <c r="C593" s="397"/>
      <c r="D593" s="305"/>
      <c r="E593" s="305"/>
      <c r="F593" s="300"/>
      <c r="G593" s="516"/>
      <c r="H593" s="298"/>
      <c r="M593" s="1"/>
      <c r="N593" s="1"/>
    </row>
    <row r="594" spans="1:17" ht="14.25" customHeight="1">
      <c r="A594" s="290" t="s">
        <v>556</v>
      </c>
      <c r="B594" s="604" t="s">
        <v>1064</v>
      </c>
      <c r="C594" s="269"/>
      <c r="D594" s="464">
        <f>VLOOKUP(B594,$I$54:$J$75,2,FALSE)</f>
        <v>1</v>
      </c>
      <c r="E594" s="311">
        <f>B593*(D594+0.15)*(B584-( IF(B594="suspended wood ",'Data Entry Sheet'!$D$32,'Data Entry Sheet'!$D$33)))</f>
        <v>0</v>
      </c>
      <c r="F594" s="299" t="s">
        <v>10</v>
      </c>
      <c r="G594" s="516"/>
      <c r="H594" s="298"/>
      <c r="M594" s="1"/>
      <c r="N594" s="1"/>
    </row>
    <row r="595" spans="1:17" ht="14.25" customHeight="1">
      <c r="A595" s="290"/>
      <c r="B595" s="289"/>
      <c r="C595" s="516"/>
      <c r="D595" s="307"/>
      <c r="E595" s="307"/>
      <c r="F595" s="299"/>
      <c r="G595" s="516"/>
      <c r="H595" s="298"/>
      <c r="M595" s="1"/>
      <c r="N595" s="1"/>
    </row>
    <row r="596" spans="1:17" ht="14.25" customHeight="1">
      <c r="A596" s="291" t="s">
        <v>555</v>
      </c>
      <c r="B596" s="604" t="s">
        <v>972</v>
      </c>
      <c r="C596" s="269"/>
      <c r="D596" s="464">
        <f>VLOOKUP(B596,$I$113:J699,2,FALSE)</f>
        <v>1.5</v>
      </c>
      <c r="E596" s="311">
        <f>(B584-'Data Entry Sheet'!$D$32)*0.33*(B593*B585)*D596</f>
        <v>0</v>
      </c>
      <c r="F596" s="299" t="s">
        <v>10</v>
      </c>
      <c r="G596" s="516"/>
      <c r="H596" s="298"/>
      <c r="M596" s="1"/>
      <c r="N596" s="1"/>
    </row>
    <row r="597" spans="1:17" ht="14.25" customHeight="1">
      <c r="A597" s="268"/>
      <c r="B597" s="289"/>
      <c r="C597" s="289"/>
      <c r="D597" s="289"/>
      <c r="E597" s="289"/>
      <c r="F597" s="301"/>
      <c r="G597" s="421"/>
      <c r="H597" s="264"/>
      <c r="M597" s="1"/>
      <c r="N597" s="1"/>
    </row>
    <row r="598" spans="1:17" ht="14.25" customHeight="1">
      <c r="A598" s="718" t="s">
        <v>554</v>
      </c>
      <c r="B598" s="289"/>
      <c r="C598" s="289"/>
      <c r="D598" s="289"/>
      <c r="E598" s="289"/>
      <c r="F598" s="289"/>
      <c r="G598" s="299"/>
      <c r="H598" s="302"/>
      <c r="M598" s="1"/>
      <c r="N598" s="1"/>
    </row>
    <row r="599" spans="1:17" ht="14.25" customHeight="1">
      <c r="A599" s="718"/>
      <c r="C599" s="289"/>
      <c r="D599" s="289"/>
      <c r="E599" s="421"/>
      <c r="F599" s="421"/>
      <c r="G599" s="421"/>
      <c r="H599" s="298"/>
      <c r="M599" s="1"/>
      <c r="N599" s="1"/>
    </row>
    <row r="600" spans="1:17" ht="14.25" customHeight="1">
      <c r="A600" s="551" t="s">
        <v>751</v>
      </c>
      <c r="B600" s="469" t="s">
        <v>993</v>
      </c>
      <c r="C600" s="289"/>
      <c r="D600" s="269" t="s">
        <v>1062</v>
      </c>
      <c r="E600" s="289"/>
      <c r="F600" s="289"/>
      <c r="G600" s="421"/>
      <c r="H600" s="298"/>
      <c r="M600" s="1"/>
      <c r="N600" s="1"/>
      <c r="O600" s="1"/>
    </row>
    <row r="601" spans="1:17" ht="14.25" customHeight="1">
      <c r="A601" s="133" t="s">
        <v>1081</v>
      </c>
      <c r="B601" s="133" t="s">
        <v>460</v>
      </c>
      <c r="C601" s="289"/>
      <c r="D601" s="133" t="s">
        <v>1063</v>
      </c>
      <c r="F601" s="312">
        <f>+IF(A601="UFH",G587/344)+IF(A601="radiators",0)</f>
        <v>0</v>
      </c>
      <c r="G601" s="289" t="s">
        <v>527</v>
      </c>
      <c r="H601" s="298"/>
      <c r="M601" s="1"/>
      <c r="N601" s="1"/>
      <c r="O601" s="1"/>
    </row>
    <row r="602" spans="1:17" ht="12.75">
      <c r="C602" s="289"/>
      <c r="D602" s="289"/>
      <c r="E602" s="289"/>
      <c r="F602" s="289"/>
      <c r="G602" s="421"/>
      <c r="H602" s="298"/>
      <c r="M602" s="1"/>
      <c r="N602" s="1"/>
      <c r="O602" s="1"/>
      <c r="Q602" s="264"/>
    </row>
    <row r="603" spans="1:17" ht="14.25" customHeight="1">
      <c r="A603" s="268"/>
      <c r="B603" s="289"/>
      <c r="C603" s="289"/>
      <c r="D603" s="289"/>
      <c r="E603" s="289"/>
      <c r="F603" s="301"/>
      <c r="G603" s="722" t="s">
        <v>553</v>
      </c>
      <c r="H603" s="264"/>
      <c r="M603" s="1"/>
      <c r="N603" s="1"/>
      <c r="O603" s="1"/>
    </row>
    <row r="604" spans="1:17" ht="14.25" customHeight="1">
      <c r="A604" s="468" t="s">
        <v>245</v>
      </c>
      <c r="B604" s="469" t="s">
        <v>126</v>
      </c>
      <c r="C604" s="289"/>
      <c r="D604" s="469" t="s">
        <v>14</v>
      </c>
      <c r="E604" s="469" t="s">
        <v>246</v>
      </c>
      <c r="F604" s="469" t="s">
        <v>15</v>
      </c>
      <c r="G604" s="723"/>
      <c r="H604" s="298"/>
      <c r="M604" s="1"/>
      <c r="N604" s="1"/>
      <c r="O604" s="1"/>
    </row>
    <row r="605" spans="1:17" ht="14.25" customHeight="1">
      <c r="A605" s="23">
        <v>600</v>
      </c>
      <c r="B605" s="11">
        <v>1000</v>
      </c>
      <c r="C605" s="289"/>
      <c r="D605" s="11" t="s">
        <v>832</v>
      </c>
      <c r="E605" s="312">
        <f>A605*B605*1.05*(+IF(D605="SC_type11",0.000764)+IF(D605="DC_type22",0.001421)+IF(D605="DP+type21",0.001121))*('Data Entry Sheet'!$I$28/(B584+30))</f>
        <v>471.88235294117646</v>
      </c>
      <c r="F605" s="428" t="e">
        <f>+IF(A601="Radiators",((E605/G587)-1),"UFH")</f>
        <v>#DIV/0!</v>
      </c>
      <c r="G605" s="309" t="e">
        <f>IF(A601="Radiators",(((-1*F605)*(B584-'Data Entry Sheet'!$D$32))+'Data Entry Sheet'!$D$32),-10)</f>
        <v>#DIV/0!</v>
      </c>
      <c r="H605" s="303" t="s">
        <v>53</v>
      </c>
      <c r="M605" s="1"/>
      <c r="N605" s="1"/>
    </row>
    <row r="606" spans="1:17" ht="14.25" customHeight="1">
      <c r="A606" s="273"/>
      <c r="C606" s="289"/>
      <c r="D606" s="289"/>
      <c r="E606" s="289"/>
      <c r="F606" s="439" t="s">
        <v>199</v>
      </c>
      <c r="G606" s="440" t="e">
        <f>B584-#REF!</f>
        <v>#REF!</v>
      </c>
      <c r="H606" s="298"/>
      <c r="M606" s="1"/>
      <c r="N606" s="1"/>
    </row>
    <row r="607" spans="1:17" ht="14.25" customHeight="1">
      <c r="A607" s="273" t="s">
        <v>552</v>
      </c>
      <c r="B607" s="289"/>
      <c r="C607" s="289"/>
      <c r="D607" s="289"/>
      <c r="E607" s="289"/>
      <c r="F607" s="289"/>
      <c r="G607" s="309">
        <f>'Data Entry Sheet'!$I$29*G587</f>
        <v>0</v>
      </c>
      <c r="H607" s="298" t="s">
        <v>10</v>
      </c>
      <c r="M607" s="1"/>
      <c r="N607" s="1"/>
    </row>
    <row r="608" spans="1:17" ht="14.25" customHeight="1">
      <c r="A608" s="273" t="s">
        <v>551</v>
      </c>
      <c r="B608" s="289"/>
      <c r="C608" s="289"/>
      <c r="D608" s="308"/>
      <c r="E608" s="289"/>
      <c r="F608" s="289"/>
      <c r="G608" s="422"/>
      <c r="H608" s="298"/>
      <c r="M608" s="1"/>
      <c r="N608" s="1"/>
    </row>
    <row r="609" spans="1:14" ht="14.25" customHeight="1">
      <c r="A609" s="273"/>
      <c r="B609" s="289"/>
      <c r="C609" s="289"/>
      <c r="D609" s="308"/>
      <c r="E609" s="289"/>
      <c r="F609" s="289"/>
      <c r="G609" s="422"/>
      <c r="H609" s="298"/>
      <c r="M609" s="1"/>
      <c r="N609" s="1"/>
    </row>
    <row r="610" spans="1:14" ht="14.25" customHeight="1">
      <c r="A610" s="468" t="s">
        <v>550</v>
      </c>
      <c r="B610" s="469" t="s">
        <v>549</v>
      </c>
      <c r="C610" s="469"/>
      <c r="D610" s="469" t="s">
        <v>14</v>
      </c>
      <c r="E610" s="469"/>
      <c r="F610" s="469"/>
      <c r="G610" s="470"/>
      <c r="H610" s="471"/>
      <c r="M610" s="1"/>
      <c r="N610" s="1"/>
    </row>
    <row r="611" spans="1:14" ht="14.25" customHeight="1">
      <c r="A611" s="315">
        <f>A605</f>
        <v>600</v>
      </c>
      <c r="B611" s="316">
        <f>G587/(A605*0.001421)*(30/('Data Entry Sheet'!$I$28-B584))</f>
        <v>0</v>
      </c>
      <c r="C611" s="289"/>
      <c r="D611" s="316" t="s">
        <v>548</v>
      </c>
      <c r="E611" s="289"/>
      <c r="F611" s="289"/>
      <c r="G611" s="470"/>
      <c r="H611" s="471"/>
      <c r="M611" s="1"/>
      <c r="N611" s="1"/>
    </row>
    <row r="612" spans="1:14" ht="14.25" customHeight="1" thickBot="1">
      <c r="A612" s="472"/>
      <c r="B612" s="306"/>
      <c r="C612" s="306"/>
      <c r="D612" s="306"/>
      <c r="E612" s="306"/>
      <c r="F612" s="306"/>
      <c r="G612" s="423"/>
      <c r="H612" s="304"/>
      <c r="M612" s="1"/>
      <c r="N612" s="1"/>
    </row>
    <row r="613" spans="1:14" ht="14.25" customHeight="1" thickBot="1">
      <c r="M613" s="1"/>
      <c r="N613" s="1"/>
    </row>
    <row r="614" spans="1:14" ht="12.75" customHeight="1">
      <c r="A614" s="719" t="s">
        <v>70</v>
      </c>
      <c r="B614" s="292"/>
      <c r="C614" s="293"/>
      <c r="D614" s="293"/>
      <c r="E614" s="293"/>
      <c r="F614" s="294"/>
      <c r="G614" s="419"/>
      <c r="H614" s="295"/>
      <c r="M614" s="1"/>
      <c r="N614" s="1"/>
    </row>
    <row r="615" spans="1:14" ht="14.25" customHeight="1">
      <c r="A615" s="720"/>
      <c r="B615" s="13" t="s">
        <v>498</v>
      </c>
      <c r="C615" s="269"/>
      <c r="D615" s="299"/>
      <c r="E615" s="269"/>
      <c r="F615" s="269"/>
      <c r="G615" s="516"/>
      <c r="H615" s="264"/>
      <c r="M615" s="1"/>
      <c r="N615" s="1"/>
    </row>
    <row r="616" spans="1:14" ht="14.25" customHeight="1">
      <c r="A616" s="273" t="s">
        <v>568</v>
      </c>
      <c r="B616" s="14">
        <v>21</v>
      </c>
      <c r="C616" s="397"/>
      <c r="D616" s="516" t="s">
        <v>567</v>
      </c>
      <c r="E616" s="516" t="s">
        <v>9</v>
      </c>
      <c r="F616" s="296"/>
      <c r="G616" s="297" t="s">
        <v>566</v>
      </c>
      <c r="H616" s="298"/>
      <c r="M616" s="1"/>
      <c r="N616" s="1"/>
    </row>
    <row r="617" spans="1:14" ht="14.25" customHeight="1">
      <c r="A617" s="273" t="s">
        <v>565</v>
      </c>
      <c r="B617" s="14">
        <v>2.4</v>
      </c>
      <c r="C617" s="397"/>
      <c r="D617" s="269"/>
      <c r="E617" s="516"/>
      <c r="F617" s="296"/>
      <c r="G617" s="516"/>
      <c r="H617" s="298"/>
      <c r="M617" s="1"/>
      <c r="N617" s="1"/>
    </row>
    <row r="618" spans="1:14" ht="14.25" customHeight="1">
      <c r="A618" s="273" t="s">
        <v>564</v>
      </c>
      <c r="B618" s="15">
        <v>0</v>
      </c>
      <c r="C618" s="397"/>
      <c r="D618" s="269"/>
      <c r="E618" s="269"/>
      <c r="F618" s="296"/>
      <c r="G618" s="516"/>
      <c r="H618" s="298"/>
      <c r="M618" s="1"/>
      <c r="N618" s="1"/>
    </row>
    <row r="619" spans="1:14" ht="14.25" customHeight="1">
      <c r="A619" s="272" t="s">
        <v>563</v>
      </c>
      <c r="B619" s="604" t="s">
        <v>1064</v>
      </c>
      <c r="C619" s="269"/>
      <c r="D619" s="464">
        <f>VLOOKUP(B619,$I$23:$J$49,2,FALSE)</f>
        <v>2.11</v>
      </c>
      <c r="E619" s="311">
        <f>(((B617)*B618)-B620)*(D619+0.15)*(B616-'Data Entry Sheet'!$D$32)</f>
        <v>0</v>
      </c>
      <c r="F619" s="299" t="s">
        <v>10</v>
      </c>
      <c r="G619" s="309">
        <f>SUM(E619:E628)*((B617+81)/83.6)</f>
        <v>0</v>
      </c>
      <c r="H619" s="264"/>
      <c r="M619" s="1"/>
      <c r="N619" s="1"/>
    </row>
    <row r="620" spans="1:14" ht="14.25" customHeight="1" thickBot="1">
      <c r="A620" s="290" t="s">
        <v>562</v>
      </c>
      <c r="B620" s="15">
        <v>0</v>
      </c>
      <c r="C620" s="269"/>
      <c r="D620" s="397"/>
      <c r="E620" s="289"/>
      <c r="F620" s="299"/>
      <c r="G620" s="297" t="s">
        <v>243</v>
      </c>
      <c r="H620" s="298"/>
      <c r="M620" s="1"/>
      <c r="N620" s="1"/>
    </row>
    <row r="621" spans="1:14" ht="14.25" customHeight="1" thickBot="1">
      <c r="A621" s="290" t="s">
        <v>561</v>
      </c>
      <c r="B621" s="604" t="s">
        <v>1064</v>
      </c>
      <c r="C621" s="269"/>
      <c r="D621" s="464">
        <f>VLOOKUP(B621,$I$4:$J$16,2,FALSE)</f>
        <v>2.8</v>
      </c>
      <c r="E621" s="311">
        <f>B620*(D621+0.15)*(B616-'Data Entry Sheet'!$D$32)</f>
        <v>0</v>
      </c>
      <c r="F621" s="299" t="s">
        <v>10</v>
      </c>
      <c r="G621" s="420" t="e">
        <f>G619/B625</f>
        <v>#DIV/0!</v>
      </c>
      <c r="H621" s="264"/>
      <c r="M621" s="1"/>
      <c r="N621" s="1"/>
    </row>
    <row r="622" spans="1:14" ht="14.25" customHeight="1">
      <c r="A622" s="290" t="s">
        <v>560</v>
      </c>
      <c r="B622" s="604">
        <v>0</v>
      </c>
      <c r="C622" s="397"/>
      <c r="D622" s="516"/>
      <c r="E622" s="305"/>
      <c r="F622" s="299"/>
      <c r="G622" s="470" t="s">
        <v>127</v>
      </c>
      <c r="H622" s="298"/>
      <c r="M622" s="1"/>
      <c r="N622" s="1"/>
    </row>
    <row r="623" spans="1:14" ht="14.25" customHeight="1">
      <c r="A623" s="290" t="s">
        <v>559</v>
      </c>
      <c r="B623" s="604">
        <v>0</v>
      </c>
      <c r="C623" s="397"/>
      <c r="D623" s="516"/>
      <c r="E623" s="305"/>
      <c r="F623" s="299"/>
      <c r="G623" s="309">
        <f>+IF(A633="UFH",(G619*0.71/85),((+IF(D637="dp+type21",14.5)+IF(D637="SC_type11",7.3)+IF(D637="SC",7)+IF(D637="DC_type22",14.5))*(A637*B637))/1000000)</f>
        <v>4.38</v>
      </c>
      <c r="H623" s="298" t="s">
        <v>244</v>
      </c>
      <c r="M623" s="1"/>
      <c r="N623" s="1"/>
    </row>
    <row r="624" spans="1:14" ht="14.25" customHeight="1">
      <c r="A624" s="290" t="s">
        <v>558</v>
      </c>
      <c r="B624" s="604" t="s">
        <v>1064</v>
      </c>
      <c r="C624" s="269"/>
      <c r="D624" s="464">
        <f>VLOOKUP(B624,$I$81:$J$100,2,FALSE)</f>
        <v>0.2</v>
      </c>
      <c r="E624" s="311">
        <f>((B622-B623)*(D624+0.15)*(B616-'Data Entry Sheet'!D640))+(B623*(B616-'Data Entry Sheet'!$D$32)*2.8)</f>
        <v>0</v>
      </c>
      <c r="F624" s="299" t="s">
        <v>10</v>
      </c>
      <c r="G624" s="516"/>
      <c r="H624" s="298"/>
      <c r="M624" s="1"/>
      <c r="N624" s="1"/>
    </row>
    <row r="625" spans="1:14" ht="14.25" customHeight="1">
      <c r="A625" s="290" t="s">
        <v>557</v>
      </c>
      <c r="B625" s="604">
        <v>0</v>
      </c>
      <c r="C625" s="397"/>
      <c r="D625" s="305"/>
      <c r="E625" s="305"/>
      <c r="F625" s="300"/>
      <c r="G625" s="516"/>
      <c r="H625" s="298"/>
      <c r="M625" s="1"/>
      <c r="N625" s="1"/>
    </row>
    <row r="626" spans="1:14" ht="14.25" customHeight="1">
      <c r="A626" s="290" t="s">
        <v>556</v>
      </c>
      <c r="B626" s="604" t="s">
        <v>1064</v>
      </c>
      <c r="C626" s="269"/>
      <c r="D626" s="464">
        <f>VLOOKUP(B626,$I$54:$J$75,2,FALSE)</f>
        <v>1</v>
      </c>
      <c r="E626" s="311">
        <f>B625*(D626+0.15)*(B616-( IF(B626="suspended wood ",'Data Entry Sheet'!$D$32,'Data Entry Sheet'!$D$33)))</f>
        <v>0</v>
      </c>
      <c r="F626" s="299" t="s">
        <v>10</v>
      </c>
      <c r="G626" s="516"/>
      <c r="H626" s="298"/>
      <c r="M626" s="1"/>
      <c r="N626" s="1"/>
    </row>
    <row r="627" spans="1:14" ht="14.25" customHeight="1">
      <c r="A627" s="290"/>
      <c r="B627" s="289"/>
      <c r="C627" s="516"/>
      <c r="D627" s="307"/>
      <c r="E627" s="307"/>
      <c r="F627" s="299"/>
      <c r="G627" s="516"/>
      <c r="H627" s="298"/>
      <c r="M627" s="1"/>
      <c r="N627" s="1"/>
    </row>
    <row r="628" spans="1:14" ht="14.25" customHeight="1">
      <c r="A628" s="291" t="s">
        <v>555</v>
      </c>
      <c r="B628" s="604" t="s">
        <v>972</v>
      </c>
      <c r="C628" s="269"/>
      <c r="D628" s="464">
        <f>VLOOKUP(B628,$I$113:J731,2,FALSE)</f>
        <v>1.5</v>
      </c>
      <c r="E628" s="311">
        <f>(B616-'Data Entry Sheet'!$D$32)*0.33*(B625*B617)*D628</f>
        <v>0</v>
      </c>
      <c r="F628" s="299" t="s">
        <v>10</v>
      </c>
      <c r="G628" s="516"/>
      <c r="H628" s="298"/>
      <c r="M628" s="1"/>
      <c r="N628" s="1"/>
    </row>
    <row r="629" spans="1:14" ht="14.25" customHeight="1">
      <c r="A629" s="268"/>
      <c r="B629" s="289"/>
      <c r="C629" s="289"/>
      <c r="D629" s="289"/>
      <c r="E629" s="289"/>
      <c r="F629" s="301"/>
      <c r="G629" s="421"/>
      <c r="H629" s="264"/>
      <c r="M629" s="1"/>
      <c r="N629" s="1"/>
    </row>
    <row r="630" spans="1:14" ht="14.25" customHeight="1">
      <c r="A630" s="718" t="s">
        <v>554</v>
      </c>
      <c r="B630" s="289"/>
      <c r="C630" s="289"/>
      <c r="D630" s="289"/>
      <c r="E630" s="289"/>
      <c r="F630" s="289"/>
      <c r="G630" s="299"/>
      <c r="H630" s="302"/>
      <c r="M630" s="1"/>
      <c r="N630" s="1"/>
    </row>
    <row r="631" spans="1:14" ht="12.75">
      <c r="A631" s="718"/>
      <c r="C631" s="289"/>
      <c r="D631" s="289"/>
      <c r="E631" s="421"/>
      <c r="F631" s="421"/>
      <c r="G631" s="421"/>
      <c r="H631" s="298"/>
      <c r="M631" s="1"/>
      <c r="N631" s="1"/>
    </row>
    <row r="632" spans="1:14" ht="14.25" customHeight="1">
      <c r="A632" s="551" t="s">
        <v>751</v>
      </c>
      <c r="B632" s="469" t="s">
        <v>993</v>
      </c>
      <c r="C632" s="289"/>
      <c r="D632" s="269" t="s">
        <v>1062</v>
      </c>
      <c r="E632" s="289"/>
      <c r="F632" s="289"/>
      <c r="G632" s="421"/>
      <c r="H632" s="298"/>
      <c r="M632" s="1"/>
      <c r="N632" s="1"/>
    </row>
    <row r="633" spans="1:14" ht="14.25" customHeight="1">
      <c r="A633" s="133" t="s">
        <v>1081</v>
      </c>
      <c r="B633" s="133" t="s">
        <v>460</v>
      </c>
      <c r="C633" s="289"/>
      <c r="D633" s="133" t="s">
        <v>1063</v>
      </c>
      <c r="F633" s="312">
        <f>+IF(A633="UFH",G619/344)+IF(A633="radiators",0)</f>
        <v>0</v>
      </c>
      <c r="G633" s="289" t="s">
        <v>527</v>
      </c>
      <c r="H633" s="298"/>
      <c r="M633" s="1"/>
      <c r="N633" s="1"/>
    </row>
    <row r="634" spans="1:14" ht="14.25" customHeight="1">
      <c r="C634" s="289"/>
      <c r="D634" s="289"/>
      <c r="E634" s="289"/>
      <c r="F634" s="289"/>
      <c r="G634" s="421"/>
      <c r="H634" s="298"/>
      <c r="M634" s="1"/>
      <c r="N634" s="1"/>
    </row>
    <row r="635" spans="1:14" ht="14.25" customHeight="1">
      <c r="A635" s="268"/>
      <c r="B635" s="289"/>
      <c r="C635" s="289"/>
      <c r="D635" s="289"/>
      <c r="E635" s="289"/>
      <c r="F635" s="301"/>
      <c r="G635" s="722" t="s">
        <v>553</v>
      </c>
      <c r="H635" s="264"/>
      <c r="M635" s="1"/>
      <c r="N635" s="1"/>
    </row>
    <row r="636" spans="1:14" ht="14.25" customHeight="1">
      <c r="A636" s="468" t="s">
        <v>245</v>
      </c>
      <c r="B636" s="469" t="s">
        <v>126</v>
      </c>
      <c r="C636" s="289"/>
      <c r="D636" s="469" t="s">
        <v>14</v>
      </c>
      <c r="E636" s="469" t="s">
        <v>246</v>
      </c>
      <c r="F636" s="469" t="s">
        <v>15</v>
      </c>
      <c r="G636" s="723"/>
      <c r="H636" s="298"/>
      <c r="M636" s="1"/>
      <c r="N636" s="1"/>
    </row>
    <row r="637" spans="1:14" ht="14.25" customHeight="1">
      <c r="A637" s="23">
        <v>600</v>
      </c>
      <c r="B637" s="11">
        <v>1000</v>
      </c>
      <c r="C637" s="289"/>
      <c r="D637" s="11" t="s">
        <v>832</v>
      </c>
      <c r="E637" s="312">
        <f>A637*B637*1.05*(+IF(D637="SC_type11",0.000764)+IF(D637="DC_type22",0.001421)+IF(D637="DP+type21",0.001121))*('Data Entry Sheet'!$I$28/(B616+30))</f>
        <v>471.88235294117646</v>
      </c>
      <c r="F637" s="428" t="e">
        <f>+IF(A633="Radiators",((E637/G619)-1),"UFH")</f>
        <v>#DIV/0!</v>
      </c>
      <c r="G637" s="309" t="e">
        <f>IF(A633="Radiators",(((-1*F637)*(B616-'Data Entry Sheet'!$D$32))+'Data Entry Sheet'!$D$32),-10)</f>
        <v>#DIV/0!</v>
      </c>
      <c r="H637" s="303" t="s">
        <v>53</v>
      </c>
      <c r="M637" s="1"/>
      <c r="N637" s="1"/>
    </row>
    <row r="638" spans="1:14" ht="14.25" customHeight="1">
      <c r="A638" s="273"/>
      <c r="C638" s="289"/>
      <c r="D638" s="289"/>
      <c r="E638" s="289"/>
      <c r="F638" s="439" t="s">
        <v>199</v>
      </c>
      <c r="G638" s="440" t="e">
        <f>B616-#REF!</f>
        <v>#REF!</v>
      </c>
      <c r="H638" s="298"/>
      <c r="M638" s="1"/>
      <c r="N638" s="1"/>
    </row>
    <row r="639" spans="1:14" ht="14.25" customHeight="1">
      <c r="A639" s="273" t="s">
        <v>552</v>
      </c>
      <c r="B639" s="289"/>
      <c r="C639" s="289"/>
      <c r="D639" s="289"/>
      <c r="E639" s="289"/>
      <c r="F639" s="289"/>
      <c r="G639" s="309">
        <f>'Data Entry Sheet'!$I$29*G619</f>
        <v>0</v>
      </c>
      <c r="H639" s="298" t="s">
        <v>10</v>
      </c>
      <c r="M639" s="1"/>
      <c r="N639" s="1"/>
    </row>
    <row r="640" spans="1:14" ht="14.25" customHeight="1">
      <c r="A640" s="273" t="s">
        <v>551</v>
      </c>
      <c r="B640" s="289"/>
      <c r="C640" s="289"/>
      <c r="D640" s="308"/>
      <c r="E640" s="289"/>
      <c r="F640" s="289"/>
      <c r="G640" s="422"/>
      <c r="H640" s="298"/>
      <c r="M640" s="1"/>
      <c r="N640" s="1"/>
    </row>
    <row r="641" spans="1:14" ht="14.25" customHeight="1">
      <c r="A641" s="273"/>
      <c r="B641" s="289"/>
      <c r="C641" s="289"/>
      <c r="D641" s="308"/>
      <c r="E641" s="289"/>
      <c r="F641" s="289"/>
      <c r="G641" s="422"/>
      <c r="H641" s="298"/>
      <c r="M641" s="1"/>
      <c r="N641" s="1"/>
    </row>
    <row r="642" spans="1:14" ht="14.25" customHeight="1">
      <c r="A642" s="468" t="s">
        <v>550</v>
      </c>
      <c r="B642" s="469" t="s">
        <v>549</v>
      </c>
      <c r="C642" s="469"/>
      <c r="D642" s="469" t="s">
        <v>14</v>
      </c>
      <c r="E642" s="469"/>
      <c r="F642" s="469"/>
      <c r="G642" s="470"/>
      <c r="H642" s="471"/>
      <c r="M642" s="1"/>
      <c r="N642" s="1"/>
    </row>
    <row r="643" spans="1:14" ht="14.25" customHeight="1">
      <c r="A643" s="315">
        <f>A637</f>
        <v>600</v>
      </c>
      <c r="B643" s="316">
        <f>G619/(A637*0.001421)*(30/('Data Entry Sheet'!$I$28-B616))</f>
        <v>0</v>
      </c>
      <c r="C643" s="289"/>
      <c r="D643" s="316" t="s">
        <v>548</v>
      </c>
      <c r="E643" s="289"/>
      <c r="F643" s="289"/>
      <c r="G643" s="470"/>
      <c r="H643" s="471"/>
      <c r="M643" s="1"/>
      <c r="N643" s="1"/>
    </row>
    <row r="644" spans="1:14" ht="12.75" customHeight="1" thickBot="1">
      <c r="A644" s="472"/>
      <c r="B644" s="306"/>
      <c r="C644" s="306"/>
      <c r="D644" s="306"/>
      <c r="E644" s="306"/>
      <c r="F644" s="306"/>
      <c r="G644" s="423"/>
      <c r="H644" s="304"/>
      <c r="M644" s="1"/>
      <c r="N644" s="1"/>
    </row>
    <row r="645" spans="1:14" ht="14.25" customHeight="1" thickBot="1">
      <c r="M645" s="1"/>
      <c r="N645" s="1"/>
    </row>
    <row r="646" spans="1:14" ht="14.25" customHeight="1">
      <c r="A646" s="719" t="s">
        <v>70</v>
      </c>
      <c r="B646" s="292"/>
      <c r="C646" s="293"/>
      <c r="D646" s="293"/>
      <c r="E646" s="293"/>
      <c r="F646" s="294"/>
      <c r="G646" s="419"/>
      <c r="H646" s="295"/>
      <c r="M646" s="1"/>
      <c r="N646" s="1"/>
    </row>
    <row r="647" spans="1:14" ht="14.25" customHeight="1">
      <c r="A647" s="720"/>
      <c r="B647" s="13" t="s">
        <v>499</v>
      </c>
      <c r="C647" s="269"/>
      <c r="D647" s="299"/>
      <c r="E647" s="269"/>
      <c r="F647" s="269"/>
      <c r="G647" s="516"/>
      <c r="H647" s="264"/>
      <c r="M647" s="1"/>
      <c r="N647" s="1"/>
    </row>
    <row r="648" spans="1:14" ht="14.25" customHeight="1">
      <c r="A648" s="273" t="s">
        <v>568</v>
      </c>
      <c r="B648" s="14">
        <v>21</v>
      </c>
      <c r="C648" s="397"/>
      <c r="D648" s="516" t="s">
        <v>567</v>
      </c>
      <c r="E648" s="516" t="s">
        <v>9</v>
      </c>
      <c r="F648" s="296"/>
      <c r="G648" s="297" t="s">
        <v>566</v>
      </c>
      <c r="H648" s="298"/>
      <c r="M648" s="1"/>
      <c r="N648" s="1"/>
    </row>
    <row r="649" spans="1:14" ht="14.25" customHeight="1">
      <c r="A649" s="273" t="s">
        <v>565</v>
      </c>
      <c r="B649" s="14">
        <v>2.4</v>
      </c>
      <c r="C649" s="397"/>
      <c r="D649" s="269"/>
      <c r="E649" s="516"/>
      <c r="F649" s="296"/>
      <c r="G649" s="516"/>
      <c r="H649" s="298"/>
      <c r="M649" s="1"/>
      <c r="N649" s="1"/>
    </row>
    <row r="650" spans="1:14" ht="14.25" customHeight="1">
      <c r="A650" s="273" t="s">
        <v>564</v>
      </c>
      <c r="B650" s="15">
        <v>0</v>
      </c>
      <c r="C650" s="397"/>
      <c r="D650" s="269"/>
      <c r="E650" s="269"/>
      <c r="F650" s="296"/>
      <c r="G650" s="516"/>
      <c r="H650" s="298"/>
      <c r="M650" s="1"/>
      <c r="N650" s="1"/>
    </row>
    <row r="651" spans="1:14" ht="14.25" customHeight="1">
      <c r="A651" s="272" t="s">
        <v>563</v>
      </c>
      <c r="B651" s="604" t="s">
        <v>1064</v>
      </c>
      <c r="C651" s="269"/>
      <c r="D651" s="464">
        <f>VLOOKUP(B651,$I$23:$J$49,2,FALSE)</f>
        <v>2.11</v>
      </c>
      <c r="E651" s="311">
        <f>(((B649)*B650)-B652)*(D651+0.15)*(B648-'Data Entry Sheet'!$D$32)</f>
        <v>0</v>
      </c>
      <c r="F651" s="299" t="s">
        <v>10</v>
      </c>
      <c r="G651" s="309">
        <f>SUM(E651:E660)*((B649+81)/83.6)</f>
        <v>0</v>
      </c>
      <c r="H651" s="264"/>
      <c r="M651" s="1"/>
      <c r="N651" s="1"/>
    </row>
    <row r="652" spans="1:14" ht="14.25" customHeight="1" thickBot="1">
      <c r="A652" s="290" t="s">
        <v>562</v>
      </c>
      <c r="B652" s="15">
        <v>0</v>
      </c>
      <c r="C652" s="269"/>
      <c r="D652" s="397"/>
      <c r="E652" s="289"/>
      <c r="F652" s="299"/>
      <c r="G652" s="297" t="s">
        <v>243</v>
      </c>
      <c r="H652" s="298"/>
      <c r="M652" s="1"/>
      <c r="N652" s="1"/>
    </row>
    <row r="653" spans="1:14" ht="14.25" customHeight="1" thickBot="1">
      <c r="A653" s="290" t="s">
        <v>561</v>
      </c>
      <c r="B653" s="604" t="s">
        <v>1064</v>
      </c>
      <c r="C653" s="269"/>
      <c r="D653" s="464">
        <f>VLOOKUP(B653,$I$4:$J$16,2,FALSE)</f>
        <v>2.8</v>
      </c>
      <c r="E653" s="311">
        <f>B652*(D653+0.15)*(B648-'Data Entry Sheet'!$D$32)</f>
        <v>0</v>
      </c>
      <c r="F653" s="299" t="s">
        <v>10</v>
      </c>
      <c r="G653" s="420" t="e">
        <f>G651/B657</f>
        <v>#DIV/0!</v>
      </c>
      <c r="H653" s="264"/>
      <c r="M653" s="1"/>
      <c r="N653" s="1"/>
    </row>
    <row r="654" spans="1:14" ht="14.25" customHeight="1">
      <c r="A654" s="290" t="s">
        <v>560</v>
      </c>
      <c r="B654" s="604">
        <v>0</v>
      </c>
      <c r="C654" s="397"/>
      <c r="D654" s="516"/>
      <c r="E654" s="305"/>
      <c r="F654" s="299"/>
      <c r="G654" s="470" t="s">
        <v>127</v>
      </c>
      <c r="H654" s="298"/>
      <c r="M654" s="1"/>
      <c r="N654" s="1"/>
    </row>
    <row r="655" spans="1:14" ht="14.25" customHeight="1">
      <c r="A655" s="290" t="s">
        <v>559</v>
      </c>
      <c r="B655" s="604">
        <v>0</v>
      </c>
      <c r="C655" s="397"/>
      <c r="D655" s="516"/>
      <c r="E655" s="305"/>
      <c r="F655" s="299"/>
      <c r="G655" s="309">
        <f>+IF(A665="UFH",(G651*0.71/85),((+IF(D669="dp+type21",14.5)+IF(D669="SC_type11",7.3)+IF(D669="SC",7)+IF(D669="DC_type22",14.5))*(A669*B669))/1000000)</f>
        <v>4.38</v>
      </c>
      <c r="H655" s="298" t="s">
        <v>244</v>
      </c>
      <c r="M655" s="1"/>
      <c r="N655" s="1"/>
    </row>
    <row r="656" spans="1:14" ht="14.25" customHeight="1">
      <c r="A656" s="290" t="s">
        <v>558</v>
      </c>
      <c r="B656" s="604" t="s">
        <v>1064</v>
      </c>
      <c r="C656" s="269"/>
      <c r="D656" s="464">
        <f>VLOOKUP(B656,$I$81:$J$100,2,FALSE)</f>
        <v>0.2</v>
      </c>
      <c r="E656" s="311">
        <f>((B654-B655)*(D656+0.15)*(B648-'Data Entry Sheet'!D672))+(B655*(B648-'Data Entry Sheet'!$D$32)*2.8)</f>
        <v>0</v>
      </c>
      <c r="F656" s="299" t="s">
        <v>10</v>
      </c>
      <c r="G656" s="516"/>
      <c r="H656" s="298"/>
      <c r="M656" s="1"/>
      <c r="N656" s="1"/>
    </row>
    <row r="657" spans="1:14" ht="14.25" customHeight="1">
      <c r="A657" s="290" t="s">
        <v>557</v>
      </c>
      <c r="B657" s="604">
        <v>0</v>
      </c>
      <c r="C657" s="397"/>
      <c r="D657" s="305"/>
      <c r="E657" s="305"/>
      <c r="F657" s="300"/>
      <c r="G657" s="516"/>
      <c r="H657" s="298"/>
      <c r="M657" s="1"/>
      <c r="N657" s="1"/>
    </row>
    <row r="658" spans="1:14" ht="14.25" customHeight="1">
      <c r="A658" s="290" t="s">
        <v>556</v>
      </c>
      <c r="B658" s="604" t="s">
        <v>1064</v>
      </c>
      <c r="C658" s="269"/>
      <c r="D658" s="464">
        <f>VLOOKUP(B658,$I$54:$J$75,2,FALSE)</f>
        <v>1</v>
      </c>
      <c r="E658" s="311">
        <f>B657*(D658+0.15)*(B648-( IF(B658="suspended wood ",'Data Entry Sheet'!$D$32,'Data Entry Sheet'!$D$33)))</f>
        <v>0</v>
      </c>
      <c r="F658" s="299" t="s">
        <v>10</v>
      </c>
      <c r="G658" s="516"/>
      <c r="H658" s="298"/>
      <c r="M658" s="1"/>
      <c r="N658" s="1"/>
    </row>
    <row r="659" spans="1:14" ht="14.25" customHeight="1">
      <c r="A659" s="290"/>
      <c r="B659" s="289"/>
      <c r="C659" s="516"/>
      <c r="D659" s="307"/>
      <c r="E659" s="307"/>
      <c r="F659" s="299"/>
      <c r="G659" s="516"/>
      <c r="H659" s="298"/>
      <c r="M659" s="1"/>
      <c r="N659" s="1"/>
    </row>
    <row r="660" spans="1:14" ht="15">
      <c r="A660" s="291" t="s">
        <v>555</v>
      </c>
      <c r="B660" s="604" t="s">
        <v>972</v>
      </c>
      <c r="C660" s="269"/>
      <c r="D660" s="464">
        <f>VLOOKUP(B660,$I$113:J763,2,FALSE)</f>
        <v>1.5</v>
      </c>
      <c r="E660" s="311">
        <f>(B648-'Data Entry Sheet'!$D$32)*0.33*(B657*B649)*D660</f>
        <v>0</v>
      </c>
      <c r="F660" s="299" t="s">
        <v>10</v>
      </c>
      <c r="G660" s="516"/>
      <c r="H660" s="298"/>
      <c r="M660" s="1"/>
      <c r="N660" s="1"/>
    </row>
    <row r="661" spans="1:14" ht="14.25" customHeight="1">
      <c r="A661" s="268"/>
      <c r="B661" s="289"/>
      <c r="C661" s="289"/>
      <c r="D661" s="289"/>
      <c r="E661" s="289"/>
      <c r="F661" s="301"/>
      <c r="G661" s="421"/>
      <c r="H661" s="264"/>
      <c r="M661" s="1"/>
      <c r="N661" s="1"/>
    </row>
    <row r="662" spans="1:14" ht="14.25" customHeight="1">
      <c r="A662" s="718" t="s">
        <v>554</v>
      </c>
      <c r="B662" s="289"/>
      <c r="C662" s="289"/>
      <c r="D662" s="289"/>
      <c r="E662" s="289"/>
      <c r="F662" s="289"/>
      <c r="G662" s="299"/>
      <c r="H662" s="302"/>
      <c r="M662" s="1"/>
      <c r="N662" s="1"/>
    </row>
    <row r="663" spans="1:14" ht="14.25" customHeight="1">
      <c r="A663" s="718"/>
      <c r="C663" s="289"/>
      <c r="D663" s="289"/>
      <c r="E663" s="421"/>
      <c r="F663" s="421"/>
      <c r="G663" s="421"/>
      <c r="H663" s="298"/>
      <c r="M663" s="1"/>
      <c r="N663" s="1"/>
    </row>
    <row r="664" spans="1:14" ht="14.25" customHeight="1">
      <c r="A664" s="551" t="s">
        <v>751</v>
      </c>
      <c r="B664" s="469" t="s">
        <v>993</v>
      </c>
      <c r="C664" s="289"/>
      <c r="D664" s="269" t="s">
        <v>1062</v>
      </c>
      <c r="E664" s="289"/>
      <c r="F664" s="289"/>
      <c r="G664" s="421"/>
      <c r="H664" s="298"/>
      <c r="M664" s="1"/>
      <c r="N664" s="1"/>
    </row>
    <row r="665" spans="1:14" ht="14.25" customHeight="1">
      <c r="A665" s="133" t="s">
        <v>1081</v>
      </c>
      <c r="B665" s="133" t="s">
        <v>460</v>
      </c>
      <c r="C665" s="289"/>
      <c r="D665" s="133" t="s">
        <v>1063</v>
      </c>
      <c r="F665" s="312">
        <f>+IF(A665="UFH",G651/344)+IF(A665="radiators",0)</f>
        <v>0</v>
      </c>
      <c r="G665" s="289" t="s">
        <v>527</v>
      </c>
      <c r="H665" s="298"/>
      <c r="M665" s="1"/>
      <c r="N665" s="1"/>
    </row>
    <row r="666" spans="1:14" ht="14.25" customHeight="1">
      <c r="C666" s="289"/>
      <c r="D666" s="289"/>
      <c r="E666" s="289"/>
      <c r="F666" s="289"/>
      <c r="G666" s="421"/>
      <c r="H666" s="298"/>
      <c r="M666" s="1"/>
      <c r="N666" s="1"/>
    </row>
    <row r="667" spans="1:14" ht="14.25" customHeight="1">
      <c r="A667" s="268"/>
      <c r="B667" s="289"/>
      <c r="C667" s="289"/>
      <c r="D667" s="289"/>
      <c r="E667" s="289"/>
      <c r="F667" s="301"/>
      <c r="G667" s="722" t="s">
        <v>553</v>
      </c>
      <c r="H667" s="264"/>
      <c r="M667" s="1"/>
      <c r="N667" s="1"/>
    </row>
    <row r="668" spans="1:14" ht="14.25" customHeight="1">
      <c r="A668" s="468" t="s">
        <v>245</v>
      </c>
      <c r="B668" s="469" t="s">
        <v>126</v>
      </c>
      <c r="C668" s="289"/>
      <c r="D668" s="469" t="s">
        <v>14</v>
      </c>
      <c r="E668" s="469" t="s">
        <v>246</v>
      </c>
      <c r="F668" s="469" t="s">
        <v>15</v>
      </c>
      <c r="G668" s="723"/>
      <c r="H668" s="298"/>
      <c r="M668" s="1"/>
      <c r="N668" s="1"/>
    </row>
    <row r="669" spans="1:14" ht="14.25" customHeight="1">
      <c r="A669" s="23">
        <v>600</v>
      </c>
      <c r="B669" s="11">
        <v>1000</v>
      </c>
      <c r="C669" s="289"/>
      <c r="D669" s="11" t="s">
        <v>832</v>
      </c>
      <c r="E669" s="312">
        <f>A669*B669*1.05*(+IF(D669="SC_type11",0.000764)+IF(D669="DC_type22",0.001421)+IF(D669="DP+type21",0.001121))*('Data Entry Sheet'!$I$28/(B648+30))</f>
        <v>471.88235294117646</v>
      </c>
      <c r="F669" s="428" t="e">
        <f>+IF(A665="Radiators",((E669/G651)-1),"UFH")</f>
        <v>#DIV/0!</v>
      </c>
      <c r="G669" s="309" t="e">
        <f>IF(A665="Radiators",(((-1*F669)*(B648-'Data Entry Sheet'!$D$32))+'Data Entry Sheet'!$D$32),-10)</f>
        <v>#DIV/0!</v>
      </c>
      <c r="H669" s="303" t="s">
        <v>53</v>
      </c>
      <c r="M669" s="1"/>
      <c r="N669" s="1"/>
    </row>
    <row r="670" spans="1:14" ht="14.25" customHeight="1">
      <c r="A670" s="273"/>
      <c r="C670" s="289"/>
      <c r="D670" s="289"/>
      <c r="E670" s="289"/>
      <c r="F670" s="439" t="s">
        <v>199</v>
      </c>
      <c r="G670" s="440" t="e">
        <f>B648-#REF!</f>
        <v>#REF!</v>
      </c>
      <c r="H670" s="298"/>
      <c r="M670" s="1"/>
      <c r="N670" s="1"/>
    </row>
    <row r="671" spans="1:14" ht="14.25" customHeight="1">
      <c r="A671" s="273" t="s">
        <v>552</v>
      </c>
      <c r="B671" s="289"/>
      <c r="C671" s="289"/>
      <c r="D671" s="289"/>
      <c r="E671" s="289"/>
      <c r="F671" s="289"/>
      <c r="G671" s="309">
        <f>'Data Entry Sheet'!$I$29*G651</f>
        <v>0</v>
      </c>
      <c r="H671" s="298" t="s">
        <v>10</v>
      </c>
      <c r="M671" s="1"/>
      <c r="N671" s="1"/>
    </row>
    <row r="672" spans="1:14" ht="14.25" customHeight="1">
      <c r="A672" s="273" t="s">
        <v>551</v>
      </c>
      <c r="B672" s="289"/>
      <c r="C672" s="289"/>
      <c r="D672" s="308"/>
      <c r="E672" s="289"/>
      <c r="F672" s="289"/>
      <c r="G672" s="422"/>
      <c r="H672" s="298"/>
      <c r="M672" s="1"/>
      <c r="N672" s="1"/>
    </row>
    <row r="673" spans="1:14" ht="14.25" customHeight="1">
      <c r="A673" s="273"/>
      <c r="B673" s="289"/>
      <c r="C673" s="289"/>
      <c r="D673" s="308"/>
      <c r="E673" s="289"/>
      <c r="F673" s="289"/>
      <c r="G673" s="422"/>
      <c r="H673" s="298"/>
      <c r="M673" s="1"/>
      <c r="N673" s="1"/>
    </row>
    <row r="674" spans="1:14" ht="15" customHeight="1">
      <c r="A674" s="468" t="s">
        <v>550</v>
      </c>
      <c r="B674" s="469" t="s">
        <v>549</v>
      </c>
      <c r="C674" s="469"/>
      <c r="D674" s="469" t="s">
        <v>14</v>
      </c>
      <c r="E674" s="469"/>
      <c r="F674" s="469"/>
      <c r="G674" s="470"/>
      <c r="H674" s="471"/>
      <c r="M674" s="1"/>
      <c r="N674" s="1"/>
    </row>
    <row r="675" spans="1:14" ht="14.25" customHeight="1">
      <c r="A675" s="315">
        <f>A669</f>
        <v>600</v>
      </c>
      <c r="B675" s="316">
        <f>G651/(A669*0.001421)*(30/('Data Entry Sheet'!$I$28-B648))</f>
        <v>0</v>
      </c>
      <c r="C675" s="289"/>
      <c r="D675" s="316" t="s">
        <v>548</v>
      </c>
      <c r="E675" s="289"/>
      <c r="F675" s="289"/>
      <c r="G675" s="470"/>
      <c r="H675" s="471"/>
      <c r="M675" s="1"/>
      <c r="N675" s="1"/>
    </row>
    <row r="676" spans="1:14" ht="14.25" customHeight="1" thickBot="1">
      <c r="A676" s="472"/>
      <c r="B676" s="306"/>
      <c r="C676" s="306"/>
      <c r="D676" s="306"/>
      <c r="E676" s="306"/>
      <c r="F676" s="306"/>
      <c r="G676" s="423"/>
      <c r="H676" s="304"/>
      <c r="M676" s="1"/>
      <c r="N676" s="1"/>
    </row>
    <row r="677" spans="1:14" ht="14.25" customHeight="1" thickBot="1">
      <c r="M677" s="1"/>
      <c r="N677" s="1"/>
    </row>
    <row r="678" spans="1:14" ht="14.25" customHeight="1">
      <c r="A678" s="719" t="s">
        <v>70</v>
      </c>
      <c r="B678" s="292"/>
      <c r="C678" s="293"/>
      <c r="D678" s="293"/>
      <c r="E678" s="293"/>
      <c r="F678" s="294"/>
      <c r="G678" s="419"/>
      <c r="H678" s="295"/>
      <c r="M678" s="1"/>
      <c r="N678" s="1"/>
    </row>
    <row r="679" spans="1:14" ht="14.25" customHeight="1">
      <c r="A679" s="720"/>
      <c r="B679" s="13" t="s">
        <v>500</v>
      </c>
      <c r="C679" s="269"/>
      <c r="D679" s="299"/>
      <c r="E679" s="269"/>
      <c r="F679" s="269"/>
      <c r="G679" s="516"/>
      <c r="H679" s="264"/>
      <c r="M679" s="1"/>
      <c r="N679" s="1"/>
    </row>
    <row r="680" spans="1:14" ht="14.25" customHeight="1">
      <c r="A680" s="273" t="s">
        <v>568</v>
      </c>
      <c r="B680" s="14">
        <v>21</v>
      </c>
      <c r="C680" s="397"/>
      <c r="D680" s="516" t="s">
        <v>567</v>
      </c>
      <c r="E680" s="516" t="s">
        <v>9</v>
      </c>
      <c r="F680" s="296"/>
      <c r="G680" s="297" t="s">
        <v>566</v>
      </c>
      <c r="H680" s="298"/>
      <c r="M680" s="1"/>
      <c r="N680" s="1"/>
    </row>
    <row r="681" spans="1:14" ht="14.25" customHeight="1">
      <c r="A681" s="273" t="s">
        <v>565</v>
      </c>
      <c r="B681" s="14">
        <v>2.4</v>
      </c>
      <c r="C681" s="397"/>
      <c r="D681" s="269"/>
      <c r="E681" s="516"/>
      <c r="F681" s="296"/>
      <c r="G681" s="516"/>
      <c r="H681" s="298"/>
      <c r="M681" s="1"/>
      <c r="N681" s="1"/>
    </row>
    <row r="682" spans="1:14" ht="14.25" customHeight="1">
      <c r="A682" s="273" t="s">
        <v>564</v>
      </c>
      <c r="B682" s="15">
        <v>0</v>
      </c>
      <c r="C682" s="397"/>
      <c r="D682" s="269"/>
      <c r="E682" s="269"/>
      <c r="F682" s="296"/>
      <c r="G682" s="516"/>
      <c r="H682" s="298"/>
      <c r="M682" s="1"/>
      <c r="N682" s="1"/>
    </row>
    <row r="683" spans="1:14" ht="14.25" customHeight="1">
      <c r="A683" s="272" t="s">
        <v>563</v>
      </c>
      <c r="B683" s="604" t="s">
        <v>1064</v>
      </c>
      <c r="C683" s="269"/>
      <c r="D683" s="464">
        <f>VLOOKUP(B683,$I$23:$J$49,2,FALSE)</f>
        <v>2.11</v>
      </c>
      <c r="E683" s="311">
        <f>(((B681)*B682)-B684)*(D683+0.15)*(B680-'Data Entry Sheet'!$D$32)</f>
        <v>0</v>
      </c>
      <c r="F683" s="299" t="s">
        <v>10</v>
      </c>
      <c r="G683" s="309">
        <f>SUM(E683:E692)*((B681+81)/83.6)</f>
        <v>0</v>
      </c>
      <c r="H683" s="264"/>
      <c r="M683" s="1"/>
      <c r="N683" s="1"/>
    </row>
    <row r="684" spans="1:14" ht="14.25" customHeight="1" thickBot="1">
      <c r="A684" s="290" t="s">
        <v>562</v>
      </c>
      <c r="B684" s="15">
        <v>0</v>
      </c>
      <c r="C684" s="269"/>
      <c r="D684" s="397"/>
      <c r="E684" s="289"/>
      <c r="F684" s="299"/>
      <c r="G684" s="297" t="s">
        <v>243</v>
      </c>
      <c r="H684" s="298"/>
      <c r="M684" s="1"/>
      <c r="N684" s="1"/>
    </row>
    <row r="685" spans="1:14" ht="14.25" customHeight="1" thickBot="1">
      <c r="A685" s="290" t="s">
        <v>561</v>
      </c>
      <c r="B685" s="604" t="s">
        <v>1064</v>
      </c>
      <c r="C685" s="269"/>
      <c r="D685" s="464">
        <f>VLOOKUP(B685,$I$4:$J$16,2,FALSE)</f>
        <v>2.8</v>
      </c>
      <c r="E685" s="311">
        <f>B684*(D685+0.15)*(B680-'Data Entry Sheet'!$D$32)</f>
        <v>0</v>
      </c>
      <c r="F685" s="299" t="s">
        <v>10</v>
      </c>
      <c r="G685" s="420" t="e">
        <f>G683/B689</f>
        <v>#DIV/0!</v>
      </c>
      <c r="H685" s="264"/>
      <c r="M685" s="1"/>
      <c r="N685" s="1"/>
    </row>
    <row r="686" spans="1:14" ht="14.25" customHeight="1">
      <c r="A686" s="290" t="s">
        <v>560</v>
      </c>
      <c r="B686" s="604">
        <v>0</v>
      </c>
      <c r="C686" s="397"/>
      <c r="D686" s="516"/>
      <c r="E686" s="305"/>
      <c r="F686" s="299"/>
      <c r="G686" s="470" t="s">
        <v>127</v>
      </c>
      <c r="H686" s="298"/>
      <c r="M686" s="1"/>
      <c r="N686" s="1"/>
    </row>
    <row r="687" spans="1:14" ht="14.25" customHeight="1">
      <c r="A687" s="290" t="s">
        <v>559</v>
      </c>
      <c r="B687" s="604">
        <v>0</v>
      </c>
      <c r="C687" s="397"/>
      <c r="D687" s="516"/>
      <c r="E687" s="305"/>
      <c r="F687" s="299"/>
      <c r="G687" s="309">
        <f>+IF(A697="UFH",(G683*0.71/85),((+IF(D701="dp+type21",14.5)+IF(D701="SC_type11",7.3)+IF(D701="SC",7)+IF(D701="DC_type22",14.5))*(A701*B701))/1000000)</f>
        <v>4.38</v>
      </c>
      <c r="H687" s="298" t="s">
        <v>244</v>
      </c>
      <c r="M687" s="1"/>
      <c r="N687" s="1"/>
    </row>
    <row r="688" spans="1:14" ht="14.25" customHeight="1">
      <c r="A688" s="290" t="s">
        <v>558</v>
      </c>
      <c r="B688" s="604" t="s">
        <v>1064</v>
      </c>
      <c r="C688" s="269"/>
      <c r="D688" s="464">
        <f>VLOOKUP(B688,$I$81:$J$100,2,FALSE)</f>
        <v>0.2</v>
      </c>
      <c r="E688" s="311">
        <f>((B686-B687)*(D688+0.15)*(B680-'Data Entry Sheet'!D704))+(B687*(B680-'Data Entry Sheet'!$D$32)*2.8)</f>
        <v>0</v>
      </c>
      <c r="F688" s="299" t="s">
        <v>10</v>
      </c>
      <c r="G688" s="516"/>
      <c r="H688" s="298"/>
      <c r="M688" s="1"/>
      <c r="N688" s="1"/>
    </row>
    <row r="689" spans="1:14" ht="14.25" customHeight="1">
      <c r="A689" s="290" t="s">
        <v>557</v>
      </c>
      <c r="B689" s="604">
        <v>0</v>
      </c>
      <c r="C689" s="397"/>
      <c r="D689" s="305"/>
      <c r="E689" s="305"/>
      <c r="F689" s="300"/>
      <c r="G689" s="516"/>
      <c r="H689" s="298"/>
      <c r="M689" s="1"/>
      <c r="N689" s="1"/>
    </row>
    <row r="690" spans="1:14" ht="14.25" customHeight="1">
      <c r="A690" s="290" t="s">
        <v>556</v>
      </c>
      <c r="B690" s="604" t="s">
        <v>1064</v>
      </c>
      <c r="C690" s="269"/>
      <c r="D690" s="464">
        <f>VLOOKUP(B690,$I$54:$J$75,2,FALSE)</f>
        <v>1</v>
      </c>
      <c r="E690" s="311">
        <f>B689*(D690+0.15)*(B680-( IF(B690="suspended wood ",'Data Entry Sheet'!$D$32,'Data Entry Sheet'!$D$33)))</f>
        <v>0</v>
      </c>
      <c r="F690" s="299" t="s">
        <v>10</v>
      </c>
      <c r="G690" s="516"/>
      <c r="H690" s="298"/>
      <c r="M690" s="1"/>
      <c r="N690" s="1"/>
    </row>
    <row r="691" spans="1:14" ht="14.25" customHeight="1">
      <c r="A691" s="290"/>
      <c r="B691" s="289"/>
      <c r="C691" s="516"/>
      <c r="D691" s="307"/>
      <c r="E691" s="307"/>
      <c r="F691" s="299"/>
      <c r="G691" s="516"/>
      <c r="H691" s="298"/>
      <c r="M691" s="1"/>
      <c r="N691" s="1"/>
    </row>
    <row r="692" spans="1:14" ht="14.25" customHeight="1">
      <c r="A692" s="291" t="s">
        <v>555</v>
      </c>
      <c r="B692" s="604" t="s">
        <v>972</v>
      </c>
      <c r="C692" s="269"/>
      <c r="D692" s="464">
        <f>VLOOKUP(B692,$I$113:J795,2,FALSE)</f>
        <v>1.5</v>
      </c>
      <c r="E692" s="311">
        <f>(B680-'Data Entry Sheet'!$D$32)*0.33*(B689*B681)*D692</f>
        <v>0</v>
      </c>
      <c r="F692" s="299" t="s">
        <v>10</v>
      </c>
      <c r="G692" s="516"/>
      <c r="H692" s="298"/>
      <c r="M692" s="1"/>
      <c r="N692" s="1"/>
    </row>
    <row r="693" spans="1:14" ht="14.25" customHeight="1">
      <c r="A693" s="268"/>
      <c r="B693" s="289"/>
      <c r="C693" s="289"/>
      <c r="D693" s="289"/>
      <c r="E693" s="289"/>
      <c r="F693" s="301"/>
      <c r="G693" s="421"/>
      <c r="H693" s="264"/>
      <c r="M693" s="1"/>
      <c r="N693" s="1"/>
    </row>
    <row r="694" spans="1:14" ht="14.25" customHeight="1">
      <c r="A694" s="718" t="s">
        <v>554</v>
      </c>
      <c r="B694" s="289"/>
      <c r="C694" s="289"/>
      <c r="D694" s="289"/>
      <c r="E694" s="289"/>
      <c r="F694" s="289"/>
      <c r="G694" s="299"/>
      <c r="H694" s="302"/>
      <c r="M694" s="1"/>
      <c r="N694" s="1"/>
    </row>
    <row r="695" spans="1:14" ht="14.25" customHeight="1">
      <c r="A695" s="718"/>
      <c r="C695" s="289"/>
      <c r="D695" s="289"/>
      <c r="E695" s="421"/>
      <c r="F695" s="421"/>
      <c r="G695" s="421"/>
      <c r="H695" s="298"/>
      <c r="M695" s="1"/>
      <c r="N695" s="1"/>
    </row>
    <row r="696" spans="1:14" ht="14.25" customHeight="1">
      <c r="A696" s="551" t="s">
        <v>751</v>
      </c>
      <c r="B696" s="469" t="s">
        <v>993</v>
      </c>
      <c r="C696" s="289"/>
      <c r="D696" s="269" t="s">
        <v>1062</v>
      </c>
      <c r="E696" s="289"/>
      <c r="F696" s="289"/>
      <c r="G696" s="421"/>
      <c r="H696" s="298"/>
      <c r="M696" s="1"/>
      <c r="N696" s="1"/>
    </row>
    <row r="697" spans="1:14" ht="14.25" customHeight="1">
      <c r="A697" s="133" t="s">
        <v>1081</v>
      </c>
      <c r="B697" s="133" t="s">
        <v>460</v>
      </c>
      <c r="C697" s="289"/>
      <c r="D697" s="133" t="s">
        <v>1063</v>
      </c>
      <c r="F697" s="312">
        <f>+IF(A697="UFH",G683/344)+IF(A697="radiators",0)</f>
        <v>0</v>
      </c>
      <c r="G697" s="289" t="s">
        <v>527</v>
      </c>
      <c r="H697" s="298"/>
      <c r="M697" s="1"/>
      <c r="N697" s="1"/>
    </row>
    <row r="698" spans="1:14" ht="14.25" customHeight="1">
      <c r="C698" s="289"/>
      <c r="D698" s="289"/>
      <c r="E698" s="289"/>
      <c r="F698" s="289"/>
      <c r="G698" s="421"/>
      <c r="H698" s="298"/>
      <c r="M698" s="1"/>
      <c r="N698" s="1"/>
    </row>
    <row r="699" spans="1:14" ht="14.25" customHeight="1">
      <c r="A699" s="268"/>
      <c r="B699" s="289"/>
      <c r="C699" s="289"/>
      <c r="D699" s="289"/>
      <c r="E699" s="289"/>
      <c r="F699" s="301"/>
      <c r="G699" s="722" t="s">
        <v>553</v>
      </c>
      <c r="H699" s="264"/>
      <c r="M699" s="1"/>
      <c r="N699" s="1"/>
    </row>
    <row r="700" spans="1:14" ht="14.25" customHeight="1">
      <c r="A700" s="468" t="s">
        <v>245</v>
      </c>
      <c r="B700" s="469" t="s">
        <v>126</v>
      </c>
      <c r="C700" s="289"/>
      <c r="D700" s="469" t="s">
        <v>14</v>
      </c>
      <c r="E700" s="469" t="s">
        <v>246</v>
      </c>
      <c r="F700" s="469" t="s">
        <v>15</v>
      </c>
      <c r="G700" s="723"/>
      <c r="H700" s="298"/>
      <c r="M700" s="1"/>
      <c r="N700" s="1"/>
    </row>
    <row r="701" spans="1:14" ht="14.25" customHeight="1">
      <c r="A701" s="23">
        <v>600</v>
      </c>
      <c r="B701" s="11">
        <v>1000</v>
      </c>
      <c r="C701" s="289"/>
      <c r="D701" s="11" t="s">
        <v>832</v>
      </c>
      <c r="E701" s="312">
        <f>A701*B701*1.05*(+IF(D701="SC_type11",0.000764)+IF(D701="DC_type22",0.001421)+IF(D701="DP+type21",0.001121))*('Data Entry Sheet'!$I$28/(B680+30))</f>
        <v>471.88235294117646</v>
      </c>
      <c r="F701" s="428" t="e">
        <f>+IF(A697="Radiators",((E701/G683)-1),"UFH")</f>
        <v>#DIV/0!</v>
      </c>
      <c r="G701" s="309" t="e">
        <f>IF(A697="Radiators",(((-1*F701)*(B680-'Data Entry Sheet'!$D$32))+'Data Entry Sheet'!$D$32),-10)</f>
        <v>#DIV/0!</v>
      </c>
      <c r="H701" s="303" t="s">
        <v>53</v>
      </c>
      <c r="M701" s="1"/>
      <c r="N701" s="1"/>
    </row>
    <row r="702" spans="1:14" ht="14.25" customHeight="1">
      <c r="A702" s="273"/>
      <c r="C702" s="289"/>
      <c r="D702" s="289"/>
      <c r="E702" s="289"/>
      <c r="F702" s="439" t="s">
        <v>199</v>
      </c>
      <c r="G702" s="440" t="e">
        <f>B680-#REF!</f>
        <v>#REF!</v>
      </c>
      <c r="H702" s="298"/>
      <c r="M702" s="1"/>
      <c r="N702" s="1"/>
    </row>
    <row r="703" spans="1:14" ht="14.25" customHeight="1">
      <c r="A703" s="273" t="s">
        <v>552</v>
      </c>
      <c r="B703" s="289"/>
      <c r="C703" s="289"/>
      <c r="D703" s="289"/>
      <c r="E703" s="289"/>
      <c r="F703" s="289"/>
      <c r="G703" s="309">
        <f>'Data Entry Sheet'!$I$29*G683</f>
        <v>0</v>
      </c>
      <c r="H703" s="298" t="s">
        <v>10</v>
      </c>
      <c r="M703" s="1"/>
      <c r="N703" s="1"/>
    </row>
    <row r="704" spans="1:14" ht="15" customHeight="1">
      <c r="A704" s="273" t="s">
        <v>551</v>
      </c>
      <c r="B704" s="289"/>
      <c r="C704" s="289"/>
      <c r="D704" s="308"/>
      <c r="E704" s="289"/>
      <c r="F704" s="289"/>
      <c r="G704" s="422"/>
      <c r="H704" s="298"/>
      <c r="M704" s="1"/>
      <c r="N704" s="1"/>
    </row>
    <row r="705" spans="1:14" ht="14.25" customHeight="1">
      <c r="A705" s="273"/>
      <c r="B705" s="289"/>
      <c r="C705" s="289"/>
      <c r="D705" s="308"/>
      <c r="E705" s="289"/>
      <c r="F705" s="289"/>
      <c r="G705" s="422"/>
      <c r="H705" s="298"/>
      <c r="M705" s="1"/>
      <c r="N705" s="1"/>
    </row>
    <row r="706" spans="1:14" ht="14.25" customHeight="1">
      <c r="A706" s="468" t="s">
        <v>550</v>
      </c>
      <c r="B706" s="469" t="s">
        <v>549</v>
      </c>
      <c r="C706" s="469"/>
      <c r="D706" s="469" t="s">
        <v>14</v>
      </c>
      <c r="E706" s="469"/>
      <c r="F706" s="469"/>
      <c r="G706" s="470"/>
      <c r="H706" s="471"/>
      <c r="M706" s="1"/>
      <c r="N706" s="1"/>
    </row>
    <row r="707" spans="1:14" ht="14.25" customHeight="1">
      <c r="A707" s="315">
        <f>A701</f>
        <v>600</v>
      </c>
      <c r="B707" s="316">
        <f>G683/(A701*0.001421)*(30/('Data Entry Sheet'!$I$28-B680))</f>
        <v>0</v>
      </c>
      <c r="C707" s="289"/>
      <c r="D707" s="316" t="s">
        <v>548</v>
      </c>
      <c r="E707" s="289"/>
      <c r="F707" s="289"/>
      <c r="G707" s="470"/>
      <c r="H707" s="471"/>
      <c r="M707" s="1"/>
      <c r="N707" s="1"/>
    </row>
    <row r="708" spans="1:14" ht="14.25" customHeight="1" thickBot="1">
      <c r="A708" s="472"/>
      <c r="B708" s="306"/>
      <c r="C708" s="306"/>
      <c r="D708" s="306"/>
      <c r="E708" s="306"/>
      <c r="F708" s="306"/>
      <c r="G708" s="423"/>
      <c r="H708" s="304"/>
      <c r="M708" s="1"/>
      <c r="N708" s="1"/>
    </row>
    <row r="709" spans="1:14" ht="14.25" customHeight="1" thickBot="1">
      <c r="M709" s="1"/>
      <c r="N709" s="1"/>
    </row>
    <row r="710" spans="1:14" ht="14.25" customHeight="1">
      <c r="A710" s="719" t="s">
        <v>70</v>
      </c>
      <c r="B710" s="292"/>
      <c r="C710" s="293"/>
      <c r="D710" s="293"/>
      <c r="E710" s="293"/>
      <c r="F710" s="294"/>
      <c r="G710" s="419"/>
      <c r="H710" s="295"/>
      <c r="M710" s="1"/>
      <c r="N710" s="1"/>
    </row>
    <row r="711" spans="1:14" ht="14.25" customHeight="1">
      <c r="A711" s="720"/>
      <c r="B711" s="13" t="s">
        <v>501</v>
      </c>
      <c r="C711" s="269"/>
      <c r="D711" s="299"/>
      <c r="E711" s="269"/>
      <c r="F711" s="269"/>
      <c r="G711" s="516"/>
      <c r="H711" s="264"/>
      <c r="M711" s="1"/>
      <c r="N711" s="1"/>
    </row>
    <row r="712" spans="1:14" ht="14.25" customHeight="1">
      <c r="A712" s="273" t="s">
        <v>568</v>
      </c>
      <c r="B712" s="14">
        <v>21</v>
      </c>
      <c r="C712" s="397"/>
      <c r="D712" s="516" t="s">
        <v>567</v>
      </c>
      <c r="E712" s="516" t="s">
        <v>9</v>
      </c>
      <c r="F712" s="296"/>
      <c r="G712" s="297" t="s">
        <v>566</v>
      </c>
      <c r="H712" s="298"/>
      <c r="M712" s="1"/>
      <c r="N712" s="1"/>
    </row>
    <row r="713" spans="1:14" ht="14.25" customHeight="1">
      <c r="A713" s="273" t="s">
        <v>565</v>
      </c>
      <c r="B713" s="14">
        <v>2.4</v>
      </c>
      <c r="C713" s="397"/>
      <c r="D713" s="269"/>
      <c r="E713" s="516"/>
      <c r="F713" s="296"/>
      <c r="G713" s="516"/>
      <c r="H713" s="298"/>
      <c r="M713" s="1"/>
      <c r="N713" s="1"/>
    </row>
    <row r="714" spans="1:14" ht="14.25" customHeight="1">
      <c r="A714" s="273" t="s">
        <v>564</v>
      </c>
      <c r="B714" s="15">
        <v>0</v>
      </c>
      <c r="C714" s="397"/>
      <c r="D714" s="269"/>
      <c r="E714" s="269"/>
      <c r="F714" s="296"/>
      <c r="G714" s="516"/>
      <c r="H714" s="298"/>
      <c r="M714" s="1"/>
      <c r="N714" s="1"/>
    </row>
    <row r="715" spans="1:14" ht="14.25" customHeight="1">
      <c r="A715" s="272" t="s">
        <v>563</v>
      </c>
      <c r="B715" s="604" t="s">
        <v>1064</v>
      </c>
      <c r="C715" s="269"/>
      <c r="D715" s="464">
        <f>VLOOKUP(B715,$I$23:$J$49,2,FALSE)</f>
        <v>2.11</v>
      </c>
      <c r="E715" s="311">
        <f>(((B713)*B714)-B716)*(D715+0.15)*(B712-'Data Entry Sheet'!$D$32)</f>
        <v>0</v>
      </c>
      <c r="F715" s="299" t="s">
        <v>10</v>
      </c>
      <c r="G715" s="309">
        <f>SUM(E715:E724)*((B713+81)/83.6)</f>
        <v>0</v>
      </c>
      <c r="H715" s="264"/>
      <c r="M715" s="1"/>
      <c r="N715" s="1"/>
    </row>
    <row r="716" spans="1:14" ht="14.25" customHeight="1" thickBot="1">
      <c r="A716" s="290" t="s">
        <v>562</v>
      </c>
      <c r="B716" s="15">
        <v>0</v>
      </c>
      <c r="C716" s="269"/>
      <c r="D716" s="397"/>
      <c r="E716" s="289"/>
      <c r="F716" s="299"/>
      <c r="G716" s="297" t="s">
        <v>243</v>
      </c>
      <c r="H716" s="298"/>
      <c r="M716" s="1"/>
      <c r="N716" s="1"/>
    </row>
    <row r="717" spans="1:14" ht="14.25" customHeight="1" thickBot="1">
      <c r="A717" s="290" t="s">
        <v>561</v>
      </c>
      <c r="B717" s="604" t="s">
        <v>1064</v>
      </c>
      <c r="C717" s="269"/>
      <c r="D717" s="464">
        <f>VLOOKUP(B717,$I$4:$J$16,2,FALSE)</f>
        <v>2.8</v>
      </c>
      <c r="E717" s="311">
        <f>B716*(D717+0.15)*(B712-'Data Entry Sheet'!$D$32)</f>
        <v>0</v>
      </c>
      <c r="F717" s="299" t="s">
        <v>10</v>
      </c>
      <c r="G717" s="420" t="e">
        <f>G715/B721</f>
        <v>#DIV/0!</v>
      </c>
      <c r="H717" s="264"/>
      <c r="M717" s="1"/>
      <c r="N717" s="1"/>
    </row>
    <row r="718" spans="1:14" ht="14.25" customHeight="1">
      <c r="A718" s="290" t="s">
        <v>560</v>
      </c>
      <c r="B718" s="604">
        <v>0</v>
      </c>
      <c r="C718" s="397"/>
      <c r="D718" s="516"/>
      <c r="E718" s="305"/>
      <c r="F718" s="299"/>
      <c r="G718" s="470" t="s">
        <v>127</v>
      </c>
      <c r="H718" s="298"/>
      <c r="M718" s="1"/>
      <c r="N718" s="1"/>
    </row>
    <row r="719" spans="1:14" ht="14.25" customHeight="1">
      <c r="A719" s="290" t="s">
        <v>559</v>
      </c>
      <c r="B719" s="604">
        <v>0</v>
      </c>
      <c r="C719" s="397"/>
      <c r="D719" s="516"/>
      <c r="E719" s="305"/>
      <c r="F719" s="299"/>
      <c r="G719" s="309">
        <f>+IF(A729="UFH",(G715*0.71/85),((+IF(D733="dp+type21",14.5)+IF(D733="SC_type11",7.3)+IF(D733="SC",7)+IF(D733="DC_type22",14.5))*(A733*B733))/1000000)</f>
        <v>4.38</v>
      </c>
      <c r="H719" s="298" t="s">
        <v>244</v>
      </c>
      <c r="M719" s="1"/>
      <c r="N719" s="1"/>
    </row>
    <row r="720" spans="1:14" ht="14.25" customHeight="1">
      <c r="A720" s="290" t="s">
        <v>558</v>
      </c>
      <c r="B720" s="604" t="s">
        <v>1064</v>
      </c>
      <c r="C720" s="269"/>
      <c r="D720" s="464">
        <f>VLOOKUP(B720,$I$81:$J$100,2,FALSE)</f>
        <v>0.2</v>
      </c>
      <c r="E720" s="311">
        <f>((B718-B719)*(D720+0.15)*(B712-'Data Entry Sheet'!D736))+(B719*(B712-'Data Entry Sheet'!$D$32)*2.8)</f>
        <v>0</v>
      </c>
      <c r="F720" s="299" t="s">
        <v>10</v>
      </c>
      <c r="G720" s="516"/>
      <c r="H720" s="298"/>
      <c r="M720" s="1"/>
      <c r="N720" s="1"/>
    </row>
    <row r="721" spans="1:14" ht="14.25" customHeight="1">
      <c r="A721" s="290" t="s">
        <v>557</v>
      </c>
      <c r="B721" s="604">
        <v>0</v>
      </c>
      <c r="C721" s="397"/>
      <c r="D721" s="305"/>
      <c r="E721" s="305"/>
      <c r="F721" s="300"/>
      <c r="G721" s="516"/>
      <c r="H721" s="298"/>
      <c r="M721" s="1"/>
      <c r="N721" s="1"/>
    </row>
    <row r="722" spans="1:14" ht="14.25" customHeight="1">
      <c r="A722" s="290" t="s">
        <v>556</v>
      </c>
      <c r="B722" s="604" t="s">
        <v>1064</v>
      </c>
      <c r="C722" s="269"/>
      <c r="D722" s="464">
        <f>VLOOKUP(B722,$I$54:$J$75,2,FALSE)</f>
        <v>1</v>
      </c>
      <c r="E722" s="311">
        <f>B721*(D722+0.15)*(B712-( IF(B722="suspended wood ",'Data Entry Sheet'!$D$32,'Data Entry Sheet'!$D$33)))</f>
        <v>0</v>
      </c>
      <c r="F722" s="299" t="s">
        <v>10</v>
      </c>
      <c r="G722" s="516"/>
      <c r="H722" s="298"/>
      <c r="M722" s="1"/>
      <c r="N722" s="1"/>
    </row>
    <row r="723" spans="1:14" ht="14.25" customHeight="1">
      <c r="A723" s="290"/>
      <c r="B723" s="289"/>
      <c r="C723" s="516"/>
      <c r="D723" s="307"/>
      <c r="E723" s="307"/>
      <c r="F723" s="299"/>
      <c r="G723" s="516"/>
      <c r="H723" s="298"/>
      <c r="M723" s="1"/>
      <c r="N723" s="1"/>
    </row>
    <row r="724" spans="1:14" ht="14.25" customHeight="1">
      <c r="A724" s="291" t="s">
        <v>555</v>
      </c>
      <c r="B724" s="604" t="s">
        <v>972</v>
      </c>
      <c r="C724" s="269"/>
      <c r="D724" s="464">
        <f>VLOOKUP(B724,$I$113:J827,2,FALSE)</f>
        <v>1.5</v>
      </c>
      <c r="E724" s="311">
        <f>(B712-'Data Entry Sheet'!$D$32)*0.33*(B721*B713)*D724</f>
        <v>0</v>
      </c>
      <c r="F724" s="299" t="s">
        <v>10</v>
      </c>
      <c r="G724" s="516"/>
      <c r="H724" s="298"/>
      <c r="M724" s="1"/>
      <c r="N724" s="1"/>
    </row>
    <row r="725" spans="1:14" ht="14.25" customHeight="1">
      <c r="A725" s="268"/>
      <c r="B725" s="289"/>
      <c r="C725" s="289"/>
      <c r="D725" s="289"/>
      <c r="E725" s="289"/>
      <c r="F725" s="301"/>
      <c r="G725" s="421"/>
      <c r="H725" s="264"/>
      <c r="M725" s="1"/>
      <c r="N725" s="1"/>
    </row>
    <row r="726" spans="1:14" ht="14.25" customHeight="1">
      <c r="A726" s="718" t="s">
        <v>554</v>
      </c>
      <c r="B726" s="289"/>
      <c r="C726" s="289"/>
      <c r="D726" s="289"/>
      <c r="E726" s="289"/>
      <c r="F726" s="289"/>
      <c r="G726" s="299"/>
      <c r="H726" s="302"/>
      <c r="M726" s="1"/>
      <c r="N726" s="1"/>
    </row>
    <row r="727" spans="1:14" ht="14.25" customHeight="1">
      <c r="A727" s="718"/>
      <c r="C727" s="289"/>
      <c r="D727" s="289"/>
      <c r="E727" s="421"/>
      <c r="F727" s="421"/>
      <c r="G727" s="421"/>
      <c r="H727" s="298"/>
      <c r="M727" s="1"/>
      <c r="N727" s="1"/>
    </row>
    <row r="728" spans="1:14" ht="14.25" customHeight="1">
      <c r="A728" s="551" t="s">
        <v>751</v>
      </c>
      <c r="B728" s="469" t="s">
        <v>993</v>
      </c>
      <c r="C728" s="289"/>
      <c r="D728" s="269" t="s">
        <v>1062</v>
      </c>
      <c r="E728" s="289"/>
      <c r="F728" s="289"/>
      <c r="G728" s="421"/>
      <c r="H728" s="298"/>
      <c r="M728" s="1"/>
      <c r="N728" s="1"/>
    </row>
    <row r="729" spans="1:14" ht="14.25" customHeight="1">
      <c r="A729" s="133" t="s">
        <v>1081</v>
      </c>
      <c r="B729" s="133" t="s">
        <v>460</v>
      </c>
      <c r="C729" s="289"/>
      <c r="D729" s="133" t="s">
        <v>1063</v>
      </c>
      <c r="F729" s="312">
        <f>+IF(A729="UFH",G715/344)+IF(A729="radiators",0)</f>
        <v>0</v>
      </c>
      <c r="G729" s="289" t="s">
        <v>527</v>
      </c>
      <c r="H729" s="298"/>
      <c r="M729" s="1"/>
      <c r="N729" s="1"/>
    </row>
    <row r="730" spans="1:14" ht="14.25" customHeight="1">
      <c r="C730" s="289"/>
      <c r="D730" s="289"/>
      <c r="E730" s="289"/>
      <c r="F730" s="289"/>
      <c r="G730" s="421"/>
      <c r="H730" s="298"/>
      <c r="M730" s="1"/>
      <c r="N730" s="1"/>
    </row>
    <row r="731" spans="1:14" ht="14.25" customHeight="1">
      <c r="A731" s="268"/>
      <c r="B731" s="289"/>
      <c r="C731" s="289"/>
      <c r="D731" s="289"/>
      <c r="E731" s="289"/>
      <c r="F731" s="301"/>
      <c r="G731" s="722" t="s">
        <v>553</v>
      </c>
      <c r="H731" s="264"/>
      <c r="M731" s="1"/>
      <c r="N731" s="1"/>
    </row>
    <row r="732" spans="1:14" ht="14.25" customHeight="1">
      <c r="A732" s="468" t="s">
        <v>245</v>
      </c>
      <c r="B732" s="469" t="s">
        <v>126</v>
      </c>
      <c r="C732" s="289"/>
      <c r="D732" s="469" t="s">
        <v>14</v>
      </c>
      <c r="E732" s="469" t="s">
        <v>246</v>
      </c>
      <c r="F732" s="469" t="s">
        <v>15</v>
      </c>
      <c r="G732" s="723"/>
      <c r="H732" s="298"/>
      <c r="M732" s="1"/>
      <c r="N732" s="1"/>
    </row>
    <row r="733" spans="1:14" ht="14.25" customHeight="1">
      <c r="A733" s="23">
        <v>600</v>
      </c>
      <c r="B733" s="11">
        <v>1000</v>
      </c>
      <c r="C733" s="289"/>
      <c r="D733" s="11" t="s">
        <v>832</v>
      </c>
      <c r="E733" s="312">
        <f>A733*B733*1.05*(+IF(D733="SC_type11",0.000764)+IF(D733="DC_type22",0.001421)+IF(D733="DP+type21",0.001121))*('Data Entry Sheet'!$I$28/(B712+30))</f>
        <v>471.88235294117646</v>
      </c>
      <c r="F733" s="428" t="e">
        <f>+IF(A729="Radiators",((E733/G715)-1),"UFH")</f>
        <v>#DIV/0!</v>
      </c>
      <c r="G733" s="309" t="e">
        <f>IF(A729="Radiators",(((-1*F733)*(B712-'Data Entry Sheet'!$D$32))+'Data Entry Sheet'!$D$32),-10)</f>
        <v>#DIV/0!</v>
      </c>
      <c r="H733" s="303" t="s">
        <v>53</v>
      </c>
      <c r="M733" s="1"/>
      <c r="N733" s="1"/>
    </row>
    <row r="734" spans="1:14" ht="12.75" customHeight="1">
      <c r="A734" s="273"/>
      <c r="C734" s="289"/>
      <c r="D734" s="289"/>
      <c r="E734" s="289"/>
      <c r="F734" s="439" t="s">
        <v>199</v>
      </c>
      <c r="G734" s="440" t="e">
        <f>B712-#REF!</f>
        <v>#REF!</v>
      </c>
      <c r="H734" s="298"/>
      <c r="M734" s="1"/>
      <c r="N734" s="1"/>
    </row>
    <row r="735" spans="1:14" ht="14.25" customHeight="1">
      <c r="A735" s="273" t="s">
        <v>552</v>
      </c>
      <c r="B735" s="289"/>
      <c r="C735" s="289"/>
      <c r="D735" s="289"/>
      <c r="E735" s="289"/>
      <c r="F735" s="289"/>
      <c r="G735" s="309">
        <f>'Data Entry Sheet'!$I$29*G715</f>
        <v>0</v>
      </c>
      <c r="H735" s="298" t="s">
        <v>10</v>
      </c>
      <c r="M735" s="1"/>
      <c r="N735" s="1"/>
    </row>
    <row r="736" spans="1:14" ht="14.25" customHeight="1">
      <c r="A736" s="273" t="s">
        <v>551</v>
      </c>
      <c r="B736" s="289"/>
      <c r="C736" s="289"/>
      <c r="D736" s="308"/>
      <c r="E736" s="289"/>
      <c r="F736" s="289"/>
      <c r="G736" s="422"/>
      <c r="H736" s="298"/>
      <c r="M736" s="1"/>
      <c r="N736" s="1"/>
    </row>
    <row r="737" spans="1:14" ht="14.25" customHeight="1">
      <c r="A737" s="273"/>
      <c r="B737" s="289"/>
      <c r="C737" s="289"/>
      <c r="D737" s="308"/>
      <c r="E737" s="289"/>
      <c r="F737" s="289"/>
      <c r="G737" s="422"/>
      <c r="H737" s="298"/>
      <c r="M737" s="1"/>
      <c r="N737" s="1"/>
    </row>
    <row r="738" spans="1:14" ht="14.25" customHeight="1">
      <c r="A738" s="468" t="s">
        <v>550</v>
      </c>
      <c r="B738" s="469" t="s">
        <v>549</v>
      </c>
      <c r="C738" s="469"/>
      <c r="D738" s="469" t="s">
        <v>14</v>
      </c>
      <c r="E738" s="469"/>
      <c r="F738" s="469"/>
      <c r="G738" s="470"/>
      <c r="H738" s="471"/>
      <c r="M738" s="1"/>
      <c r="N738" s="1"/>
    </row>
    <row r="739" spans="1:14" ht="14.25" customHeight="1">
      <c r="A739" s="315">
        <f>A733</f>
        <v>600</v>
      </c>
      <c r="B739" s="316">
        <f>G715/(A733*0.001421)*(30/('Data Entry Sheet'!$I$28-B712))</f>
        <v>0</v>
      </c>
      <c r="C739" s="289"/>
      <c r="D739" s="316" t="s">
        <v>548</v>
      </c>
      <c r="E739" s="289"/>
      <c r="F739" s="289"/>
      <c r="G739" s="470"/>
      <c r="H739" s="471"/>
      <c r="M739" s="1"/>
      <c r="N739" s="1"/>
    </row>
    <row r="740" spans="1:14" ht="14.25" customHeight="1" thickBot="1">
      <c r="A740" s="472"/>
      <c r="B740" s="306"/>
      <c r="C740" s="306"/>
      <c r="D740" s="306"/>
      <c r="E740" s="306"/>
      <c r="F740" s="306"/>
      <c r="G740" s="423"/>
      <c r="H740" s="304"/>
      <c r="M740" s="1"/>
      <c r="N740" s="1"/>
    </row>
    <row r="741" spans="1:14" ht="14.25" customHeight="1" thickBot="1">
      <c r="M741" s="1"/>
      <c r="N741" s="1"/>
    </row>
    <row r="742" spans="1:14" ht="14.25" customHeight="1">
      <c r="A742" s="719" t="s">
        <v>70</v>
      </c>
      <c r="B742" s="292"/>
      <c r="C742" s="293"/>
      <c r="D742" s="293"/>
      <c r="E742" s="293"/>
      <c r="F742" s="294"/>
      <c r="G742" s="419"/>
      <c r="H742" s="295"/>
      <c r="M742" s="1"/>
      <c r="N742" s="1"/>
    </row>
    <row r="743" spans="1:14" ht="14.25" customHeight="1">
      <c r="A743" s="720"/>
      <c r="B743" s="13" t="s">
        <v>502</v>
      </c>
      <c r="C743" s="269"/>
      <c r="D743" s="299"/>
      <c r="E743" s="269"/>
      <c r="F743" s="269"/>
      <c r="G743" s="516"/>
      <c r="H743" s="264"/>
      <c r="M743" s="1"/>
      <c r="N743" s="1"/>
    </row>
    <row r="744" spans="1:14" ht="14.25" customHeight="1">
      <c r="A744" s="273" t="s">
        <v>568</v>
      </c>
      <c r="B744" s="14">
        <v>21</v>
      </c>
      <c r="C744" s="397"/>
      <c r="D744" s="516" t="s">
        <v>567</v>
      </c>
      <c r="E744" s="516" t="s">
        <v>9</v>
      </c>
      <c r="F744" s="296"/>
      <c r="G744" s="297" t="s">
        <v>566</v>
      </c>
      <c r="H744" s="298"/>
      <c r="M744" s="1"/>
      <c r="N744" s="1"/>
    </row>
    <row r="745" spans="1:14" ht="14.25" customHeight="1">
      <c r="A745" s="273" t="s">
        <v>565</v>
      </c>
      <c r="B745" s="14">
        <v>2.4</v>
      </c>
      <c r="C745" s="397"/>
      <c r="D745" s="269"/>
      <c r="E745" s="516"/>
      <c r="F745" s="296"/>
      <c r="G745" s="516"/>
      <c r="H745" s="298"/>
      <c r="M745" s="1"/>
      <c r="N745" s="1"/>
    </row>
    <row r="746" spans="1:14" ht="14.25" customHeight="1">
      <c r="A746" s="273" t="s">
        <v>564</v>
      </c>
      <c r="B746" s="15">
        <v>0</v>
      </c>
      <c r="C746" s="397"/>
      <c r="D746" s="269"/>
      <c r="E746" s="269"/>
      <c r="F746" s="296"/>
      <c r="G746" s="516"/>
      <c r="H746" s="298"/>
      <c r="M746" s="1"/>
      <c r="N746" s="1"/>
    </row>
    <row r="747" spans="1:14" ht="14.25" customHeight="1">
      <c r="A747" s="272" t="s">
        <v>563</v>
      </c>
      <c r="B747" s="604" t="s">
        <v>1064</v>
      </c>
      <c r="C747" s="269"/>
      <c r="D747" s="464">
        <f>VLOOKUP(B747,$I$23:$J$49,2,FALSE)</f>
        <v>2.11</v>
      </c>
      <c r="E747" s="311">
        <f>(((B745)*B746)-B748)*(D747+0.15)*(B744-'Data Entry Sheet'!$D$32)</f>
        <v>0</v>
      </c>
      <c r="F747" s="299" t="s">
        <v>10</v>
      </c>
      <c r="G747" s="309">
        <f>SUM(E747:E756)*((B745+81)/83.6)</f>
        <v>0</v>
      </c>
      <c r="H747" s="264"/>
      <c r="M747" s="1"/>
      <c r="N747" s="1"/>
    </row>
    <row r="748" spans="1:14" ht="14.25" customHeight="1" thickBot="1">
      <c r="A748" s="290" t="s">
        <v>562</v>
      </c>
      <c r="B748" s="15">
        <v>0</v>
      </c>
      <c r="C748" s="269"/>
      <c r="D748" s="397"/>
      <c r="E748" s="289"/>
      <c r="F748" s="299"/>
      <c r="G748" s="297" t="s">
        <v>243</v>
      </c>
      <c r="H748" s="298"/>
      <c r="M748" s="1"/>
      <c r="N748" s="1"/>
    </row>
    <row r="749" spans="1:14" ht="14.25" customHeight="1" thickBot="1">
      <c r="A749" s="290" t="s">
        <v>561</v>
      </c>
      <c r="B749" s="604" t="s">
        <v>1064</v>
      </c>
      <c r="C749" s="269"/>
      <c r="D749" s="464">
        <f>VLOOKUP(B749,$I$4:$J$16,2,FALSE)</f>
        <v>2.8</v>
      </c>
      <c r="E749" s="311">
        <f>B748*(D749+0.15)*(B744-'Data Entry Sheet'!$D$32)</f>
        <v>0</v>
      </c>
      <c r="F749" s="299" t="s">
        <v>10</v>
      </c>
      <c r="G749" s="420" t="e">
        <f>G747/B753</f>
        <v>#DIV/0!</v>
      </c>
      <c r="H749" s="264"/>
      <c r="M749" s="1"/>
      <c r="N749" s="1"/>
    </row>
    <row r="750" spans="1:14" ht="14.25" customHeight="1">
      <c r="A750" s="290" t="s">
        <v>560</v>
      </c>
      <c r="B750" s="604">
        <v>0</v>
      </c>
      <c r="C750" s="397"/>
      <c r="D750" s="516"/>
      <c r="E750" s="305"/>
      <c r="F750" s="299"/>
      <c r="G750" s="470" t="s">
        <v>127</v>
      </c>
      <c r="H750" s="298"/>
      <c r="M750" s="1"/>
      <c r="N750" s="1"/>
    </row>
    <row r="751" spans="1:14" ht="14.25" customHeight="1">
      <c r="A751" s="290" t="s">
        <v>559</v>
      </c>
      <c r="B751" s="604">
        <v>0</v>
      </c>
      <c r="C751" s="397"/>
      <c r="D751" s="516"/>
      <c r="E751" s="305"/>
      <c r="F751" s="299"/>
      <c r="G751" s="309">
        <f>+IF(A761="UFH",(G747*0.71/85),((+IF(D765="dp+type21",14.5)+IF(D765="SC_type11",7.3)+IF(D765="SC",7)+IF(D765="DC_type22",14.5))*(A765*B765))/1000000)</f>
        <v>4.38</v>
      </c>
      <c r="H751" s="298" t="s">
        <v>244</v>
      </c>
      <c r="M751" s="1"/>
      <c r="N751" s="1"/>
    </row>
    <row r="752" spans="1:14" ht="14.25" customHeight="1">
      <c r="A752" s="290" t="s">
        <v>558</v>
      </c>
      <c r="B752" s="604" t="s">
        <v>1064</v>
      </c>
      <c r="C752" s="269"/>
      <c r="D752" s="464">
        <f>VLOOKUP(B752,$I$81:$J$100,2,FALSE)</f>
        <v>0.2</v>
      </c>
      <c r="E752" s="311">
        <f>((B750-B751)*(D752+0.15)*(B744-'Data Entry Sheet'!D768))+(B751*(B744-'Data Entry Sheet'!$D$32)*2.8)</f>
        <v>0</v>
      </c>
      <c r="F752" s="299" t="s">
        <v>10</v>
      </c>
      <c r="G752" s="516"/>
      <c r="H752" s="298"/>
      <c r="M752" s="1"/>
      <c r="N752" s="1"/>
    </row>
    <row r="753" spans="1:14" ht="14.25" customHeight="1">
      <c r="A753" s="290" t="s">
        <v>557</v>
      </c>
      <c r="B753" s="604">
        <v>0</v>
      </c>
      <c r="C753" s="397"/>
      <c r="D753" s="305"/>
      <c r="E753" s="305"/>
      <c r="F753" s="300"/>
      <c r="G753" s="516"/>
      <c r="H753" s="298"/>
      <c r="M753" s="1"/>
      <c r="N753" s="1"/>
    </row>
    <row r="754" spans="1:14" ht="14.25" customHeight="1">
      <c r="A754" s="290" t="s">
        <v>556</v>
      </c>
      <c r="B754" s="604" t="s">
        <v>1064</v>
      </c>
      <c r="C754" s="269"/>
      <c r="D754" s="464">
        <f>VLOOKUP(B754,$I$54:$J$75,2,FALSE)</f>
        <v>1</v>
      </c>
      <c r="E754" s="311">
        <f>B753*(D754+0.15)*(B744-( IF(B754="suspended wood ",'Data Entry Sheet'!$D$32,'Data Entry Sheet'!$D$33)))</f>
        <v>0</v>
      </c>
      <c r="F754" s="299" t="s">
        <v>10</v>
      </c>
      <c r="G754" s="516"/>
      <c r="H754" s="298"/>
      <c r="M754" s="1"/>
      <c r="N754" s="1"/>
    </row>
    <row r="755" spans="1:14" ht="14.25" customHeight="1">
      <c r="A755" s="290"/>
      <c r="B755" s="289"/>
      <c r="C755" s="516"/>
      <c r="D755" s="307"/>
      <c r="E755" s="307"/>
      <c r="F755" s="299"/>
      <c r="G755" s="516"/>
      <c r="H755" s="298"/>
      <c r="M755" s="1"/>
      <c r="N755" s="1"/>
    </row>
    <row r="756" spans="1:14" ht="14.25" customHeight="1">
      <c r="A756" s="291" t="s">
        <v>555</v>
      </c>
      <c r="B756" s="604" t="s">
        <v>972</v>
      </c>
      <c r="C756" s="269"/>
      <c r="D756" s="464">
        <f>VLOOKUP(B756,$I$113:J859,2,FALSE)</f>
        <v>1.5</v>
      </c>
      <c r="E756" s="311">
        <f>(B744-'Data Entry Sheet'!$D$32)*0.33*(B753*B745)*D756</f>
        <v>0</v>
      </c>
      <c r="F756" s="299" t="s">
        <v>10</v>
      </c>
      <c r="G756" s="516"/>
      <c r="H756" s="298"/>
      <c r="M756" s="1"/>
      <c r="N756" s="1"/>
    </row>
    <row r="757" spans="1:14" ht="14.25" customHeight="1">
      <c r="A757" s="268"/>
      <c r="B757" s="289"/>
      <c r="C757" s="289"/>
      <c r="D757" s="289"/>
      <c r="E757" s="289"/>
      <c r="F757" s="301"/>
      <c r="G757" s="421"/>
      <c r="H757" s="264"/>
      <c r="M757" s="1"/>
      <c r="N757" s="1"/>
    </row>
    <row r="758" spans="1:14" ht="14.25" customHeight="1">
      <c r="A758" s="718" t="s">
        <v>554</v>
      </c>
      <c r="B758" s="289"/>
      <c r="C758" s="289"/>
      <c r="D758" s="289"/>
      <c r="E758" s="289"/>
      <c r="F758" s="289"/>
      <c r="G758" s="299"/>
      <c r="H758" s="302"/>
      <c r="M758" s="1"/>
      <c r="N758" s="1"/>
    </row>
    <row r="759" spans="1:14" ht="14.25" customHeight="1">
      <c r="A759" s="718"/>
      <c r="C759" s="289"/>
      <c r="E759" s="421"/>
      <c r="F759" s="421"/>
      <c r="G759" s="421"/>
      <c r="H759" s="298"/>
      <c r="M759" s="1"/>
      <c r="N759" s="1"/>
    </row>
    <row r="760" spans="1:14" ht="14.25" customHeight="1">
      <c r="A760" s="551" t="s">
        <v>751</v>
      </c>
      <c r="B760" s="469" t="s">
        <v>993</v>
      </c>
      <c r="C760" s="289"/>
      <c r="D760" s="269" t="s">
        <v>1062</v>
      </c>
      <c r="E760" s="289"/>
      <c r="F760" s="289"/>
      <c r="G760" s="421"/>
      <c r="H760" s="298"/>
      <c r="M760" s="1"/>
      <c r="N760" s="1"/>
    </row>
    <row r="761" spans="1:14" ht="14.25" customHeight="1">
      <c r="A761" s="133" t="s">
        <v>1081</v>
      </c>
      <c r="B761" s="133" t="s">
        <v>460</v>
      </c>
      <c r="C761" s="289"/>
      <c r="D761" s="133" t="s">
        <v>1063</v>
      </c>
      <c r="F761" s="312">
        <f>+IF(A761="UFH",G747/344)+IF(A761="radiators",0)</f>
        <v>0</v>
      </c>
      <c r="G761" s="289" t="s">
        <v>527</v>
      </c>
      <c r="H761" s="298"/>
      <c r="M761" s="1"/>
      <c r="N761" s="1"/>
    </row>
    <row r="762" spans="1:14" ht="14.25" customHeight="1">
      <c r="C762" s="289"/>
      <c r="D762" s="289"/>
      <c r="E762" s="289"/>
      <c r="F762" s="289"/>
      <c r="G762" s="421"/>
      <c r="H762" s="298"/>
      <c r="M762" s="1"/>
      <c r="N762" s="1"/>
    </row>
    <row r="763" spans="1:14" ht="14.25" customHeight="1">
      <c r="A763" s="268"/>
      <c r="B763" s="289"/>
      <c r="C763" s="289"/>
      <c r="D763" s="289"/>
      <c r="E763" s="289"/>
      <c r="F763" s="301"/>
      <c r="G763" s="722" t="s">
        <v>553</v>
      </c>
      <c r="H763" s="264"/>
      <c r="M763" s="1"/>
    </row>
    <row r="764" spans="1:14" ht="14.25" customHeight="1">
      <c r="A764" s="468" t="s">
        <v>245</v>
      </c>
      <c r="B764" s="469" t="s">
        <v>126</v>
      </c>
      <c r="C764" s="289"/>
      <c r="D764" s="469" t="s">
        <v>14</v>
      </c>
      <c r="E764" s="469" t="s">
        <v>246</v>
      </c>
      <c r="F764" s="469" t="s">
        <v>15</v>
      </c>
      <c r="G764" s="723"/>
      <c r="H764" s="298"/>
      <c r="M764" s="1"/>
    </row>
    <row r="765" spans="1:14" ht="14.25" customHeight="1">
      <c r="A765" s="23">
        <v>600</v>
      </c>
      <c r="B765" s="11">
        <v>1000</v>
      </c>
      <c r="C765" s="289"/>
      <c r="D765" s="11" t="s">
        <v>832</v>
      </c>
      <c r="E765" s="312">
        <f>A765*B765*1.05*(+IF(D765="SC_type11",0.000764)+IF(D765="DC_type22",0.001421)+IF(D765="DP+type21",0.001121))*('Data Entry Sheet'!$I$28/(B744+30))</f>
        <v>471.88235294117646</v>
      </c>
      <c r="F765" s="428" t="e">
        <f>+IF(A761="Radiators",((E765/G747)-1),"UFH")</f>
        <v>#DIV/0!</v>
      </c>
      <c r="G765" s="309" t="e">
        <f>IF(A761="Radiators",(((-1*F765)*(B744-'Data Entry Sheet'!$D$32))+'Data Entry Sheet'!$D$32),-10)</f>
        <v>#DIV/0!</v>
      </c>
      <c r="H765" s="303" t="s">
        <v>53</v>
      </c>
      <c r="M765" s="1"/>
    </row>
    <row r="766" spans="1:14" ht="14.25" customHeight="1">
      <c r="A766" s="273"/>
      <c r="C766" s="289"/>
      <c r="D766" s="289"/>
      <c r="E766" s="289"/>
      <c r="F766" s="439" t="s">
        <v>199</v>
      </c>
      <c r="G766" s="440" t="e">
        <f>B744-#REF!</f>
        <v>#REF!</v>
      </c>
      <c r="H766" s="298"/>
      <c r="M766" s="1"/>
    </row>
    <row r="767" spans="1:14" ht="14.25" customHeight="1">
      <c r="A767" s="273" t="s">
        <v>552</v>
      </c>
      <c r="B767" s="289"/>
      <c r="C767" s="289"/>
      <c r="D767" s="289"/>
      <c r="E767" s="289"/>
      <c r="F767" s="289"/>
      <c r="G767" s="309">
        <f>'Data Entry Sheet'!$I$29*G747</f>
        <v>0</v>
      </c>
      <c r="H767" s="298" t="s">
        <v>10</v>
      </c>
      <c r="M767" s="1"/>
    </row>
    <row r="768" spans="1:14" ht="14.25" customHeight="1">
      <c r="A768" s="273" t="s">
        <v>551</v>
      </c>
      <c r="B768" s="289"/>
      <c r="C768" s="289"/>
      <c r="D768" s="308"/>
      <c r="E768" s="289"/>
      <c r="F768" s="289"/>
      <c r="G768" s="422"/>
      <c r="H768" s="298"/>
    </row>
    <row r="769" spans="1:8" ht="14.25" customHeight="1">
      <c r="A769" s="273"/>
      <c r="B769" s="289"/>
      <c r="C769" s="289"/>
      <c r="D769" s="308"/>
      <c r="E769" s="289"/>
      <c r="F769" s="289"/>
      <c r="G769" s="422"/>
      <c r="H769" s="298"/>
    </row>
    <row r="770" spans="1:8" ht="14.25" customHeight="1">
      <c r="A770" s="468" t="s">
        <v>550</v>
      </c>
      <c r="B770" s="469" t="s">
        <v>549</v>
      </c>
      <c r="C770" s="469"/>
      <c r="D770" s="469" t="s">
        <v>14</v>
      </c>
      <c r="E770" s="469"/>
      <c r="F770" s="469"/>
      <c r="G770" s="470"/>
      <c r="H770" s="471"/>
    </row>
    <row r="771" spans="1:8" ht="14.25" customHeight="1">
      <c r="A771" s="315">
        <f>A765</f>
        <v>600</v>
      </c>
      <c r="B771" s="316">
        <f>G747/(A765*0.001421)*(30/('Data Entry Sheet'!$I$28-B744))</f>
        <v>0</v>
      </c>
      <c r="C771" s="289"/>
      <c r="D771" s="316" t="s">
        <v>548</v>
      </c>
      <c r="E771" s="289"/>
      <c r="F771" s="289"/>
      <c r="G771" s="470"/>
      <c r="H771" s="471"/>
    </row>
    <row r="772" spans="1:8" ht="14.25" customHeight="1" thickBot="1">
      <c r="A772" s="472"/>
      <c r="B772" s="306"/>
      <c r="C772" s="306"/>
      <c r="D772" s="306"/>
      <c r="E772" s="306"/>
      <c r="F772" s="306"/>
      <c r="G772" s="423"/>
      <c r="H772" s="304"/>
    </row>
    <row r="773" spans="1:8" ht="14.25" customHeight="1" thickBot="1"/>
    <row r="774" spans="1:8" ht="14.25" customHeight="1">
      <c r="A774" s="719" t="s">
        <v>70</v>
      </c>
      <c r="B774" s="292"/>
      <c r="C774" s="293"/>
      <c r="D774" s="293"/>
      <c r="E774" s="293"/>
      <c r="F774" s="294"/>
      <c r="G774" s="419"/>
      <c r="H774" s="295"/>
    </row>
    <row r="775" spans="1:8" ht="14.25" customHeight="1">
      <c r="A775" s="720"/>
      <c r="B775" s="13" t="s">
        <v>1025</v>
      </c>
      <c r="C775" s="269"/>
      <c r="D775" s="299"/>
      <c r="E775" s="269"/>
      <c r="F775" s="269"/>
      <c r="G775" s="516"/>
      <c r="H775" s="264"/>
    </row>
    <row r="776" spans="1:8" ht="14.25" customHeight="1">
      <c r="A776" s="273" t="s">
        <v>568</v>
      </c>
      <c r="B776" s="14">
        <v>21</v>
      </c>
      <c r="C776" s="397"/>
      <c r="D776" s="516" t="s">
        <v>567</v>
      </c>
      <c r="E776" s="516" t="s">
        <v>9</v>
      </c>
      <c r="F776" s="296"/>
      <c r="G776" s="297" t="s">
        <v>566</v>
      </c>
      <c r="H776" s="298"/>
    </row>
    <row r="777" spans="1:8" ht="14.25" customHeight="1">
      <c r="A777" s="273" t="s">
        <v>565</v>
      </c>
      <c r="B777" s="14">
        <v>2.4</v>
      </c>
      <c r="C777" s="397"/>
      <c r="D777" s="269"/>
      <c r="E777" s="516"/>
      <c r="F777" s="296"/>
      <c r="G777" s="516"/>
      <c r="H777" s="298"/>
    </row>
    <row r="778" spans="1:8" ht="14.25" customHeight="1">
      <c r="A778" s="273" t="s">
        <v>564</v>
      </c>
      <c r="B778" s="15">
        <v>0</v>
      </c>
      <c r="C778" s="397"/>
      <c r="D778" s="269"/>
      <c r="E778" s="269"/>
      <c r="F778" s="296"/>
      <c r="G778" s="516"/>
      <c r="H778" s="298"/>
    </row>
    <row r="779" spans="1:8" ht="14.25" customHeight="1">
      <c r="A779" s="272" t="s">
        <v>563</v>
      </c>
      <c r="B779" s="604" t="s">
        <v>1064</v>
      </c>
      <c r="C779" s="269"/>
      <c r="D779" s="464">
        <f>VLOOKUP(B779,$I$23:$J$49,2,FALSE)</f>
        <v>2.11</v>
      </c>
      <c r="E779" s="311">
        <f>(((B777)*B778)-B780)*(D779+0.15)*(B776-'Data Entry Sheet'!$D$32)</f>
        <v>0</v>
      </c>
      <c r="F779" s="299" t="s">
        <v>10</v>
      </c>
      <c r="G779" s="309">
        <f>SUM(E779:E788)*((B777+81)/83.6)</f>
        <v>0</v>
      </c>
      <c r="H779" s="264"/>
    </row>
    <row r="780" spans="1:8" ht="14.25" customHeight="1" thickBot="1">
      <c r="A780" s="290" t="s">
        <v>562</v>
      </c>
      <c r="B780" s="15">
        <v>0</v>
      </c>
      <c r="C780" s="269"/>
      <c r="D780" s="397"/>
      <c r="E780" s="289"/>
      <c r="F780" s="299"/>
      <c r="G780" s="297" t="s">
        <v>243</v>
      </c>
      <c r="H780" s="298"/>
    </row>
    <row r="781" spans="1:8" ht="14.25" customHeight="1" thickBot="1">
      <c r="A781" s="290" t="s">
        <v>561</v>
      </c>
      <c r="B781" s="604" t="s">
        <v>1064</v>
      </c>
      <c r="C781" s="269"/>
      <c r="D781" s="464">
        <f>VLOOKUP(B781,$I$4:$J$16,2,FALSE)</f>
        <v>2.8</v>
      </c>
      <c r="E781" s="311">
        <f>B780*(D781+0.15)*(B776-'Data Entry Sheet'!$D$32)</f>
        <v>0</v>
      </c>
      <c r="F781" s="299" t="s">
        <v>10</v>
      </c>
      <c r="G781" s="420" t="e">
        <f>G779/B785</f>
        <v>#DIV/0!</v>
      </c>
      <c r="H781" s="264"/>
    </row>
    <row r="782" spans="1:8" ht="14.25" customHeight="1">
      <c r="A782" s="290" t="s">
        <v>560</v>
      </c>
      <c r="B782" s="604">
        <v>0</v>
      </c>
      <c r="C782" s="397"/>
      <c r="D782" s="516"/>
      <c r="E782" s="305"/>
      <c r="F782" s="299"/>
      <c r="G782" s="470" t="s">
        <v>127</v>
      </c>
      <c r="H782" s="298"/>
    </row>
    <row r="783" spans="1:8" ht="14.25" customHeight="1">
      <c r="A783" s="290" t="s">
        <v>559</v>
      </c>
      <c r="B783" s="604">
        <v>0</v>
      </c>
      <c r="C783" s="397"/>
      <c r="D783" s="516"/>
      <c r="E783" s="305"/>
      <c r="F783" s="299"/>
      <c r="G783" s="309">
        <f>+IF(A793="UFH",(G779*0.71/85),((+IF(D797="dp+type21",14.5)+IF(D797="SC_type11",7.3)+IF(D797="SC",7)+IF(D797="DC_type22",14.5))*(A797*B797))/1000000)</f>
        <v>4.38</v>
      </c>
      <c r="H783" s="298" t="s">
        <v>244</v>
      </c>
    </row>
    <row r="784" spans="1:8" ht="14.25" customHeight="1">
      <c r="A784" s="290" t="s">
        <v>558</v>
      </c>
      <c r="B784" s="604" t="s">
        <v>1064</v>
      </c>
      <c r="C784" s="269"/>
      <c r="D784" s="464">
        <f>VLOOKUP(B784,$I$81:$J$100,2,FALSE)</f>
        <v>0.2</v>
      </c>
      <c r="E784" s="311">
        <f>((B782-B783)*(D784+0.15)*(B776-'Data Entry Sheet'!D800))+(B783*(B776-'Data Entry Sheet'!$D$32)*2.8)</f>
        <v>0</v>
      </c>
      <c r="F784" s="299" t="s">
        <v>10</v>
      </c>
      <c r="G784" s="516"/>
      <c r="H784" s="298"/>
    </row>
    <row r="785" spans="1:8" ht="14.25" customHeight="1">
      <c r="A785" s="290" t="s">
        <v>557</v>
      </c>
      <c r="B785" s="604">
        <v>0</v>
      </c>
      <c r="C785" s="397"/>
      <c r="D785" s="305"/>
      <c r="E785" s="305"/>
      <c r="F785" s="300"/>
      <c r="G785" s="516"/>
      <c r="H785" s="298"/>
    </row>
    <row r="786" spans="1:8" ht="14.25" customHeight="1">
      <c r="A786" s="290" t="s">
        <v>556</v>
      </c>
      <c r="B786" s="604" t="s">
        <v>1064</v>
      </c>
      <c r="C786" s="269"/>
      <c r="D786" s="464">
        <f>VLOOKUP(B786,$I$54:$J$75,2,FALSE)</f>
        <v>1</v>
      </c>
      <c r="E786" s="311">
        <f>B785*(D786+0.15)*(B776-( IF(B786="suspended wood ",'Data Entry Sheet'!$D$32,'Data Entry Sheet'!$D$33)))</f>
        <v>0</v>
      </c>
      <c r="F786" s="299" t="s">
        <v>10</v>
      </c>
      <c r="G786" s="516"/>
      <c r="H786" s="298"/>
    </row>
    <row r="787" spans="1:8" ht="14.25" customHeight="1">
      <c r="A787" s="290"/>
      <c r="B787" s="289"/>
      <c r="C787" s="516"/>
      <c r="D787" s="307"/>
      <c r="E787" s="307"/>
      <c r="F787" s="299"/>
      <c r="G787" s="516"/>
      <c r="H787" s="298"/>
    </row>
    <row r="788" spans="1:8" ht="14.25" customHeight="1">
      <c r="A788" s="291" t="s">
        <v>555</v>
      </c>
      <c r="B788" s="604" t="s">
        <v>972</v>
      </c>
      <c r="C788" s="269"/>
      <c r="D788" s="464">
        <f>VLOOKUP(B788,$I$113:J891,2,FALSE)</f>
        <v>1.5</v>
      </c>
      <c r="E788" s="311">
        <f>(B776-'Data Entry Sheet'!$D$32)*0.33*(B785*B777)*D788</f>
        <v>0</v>
      </c>
      <c r="F788" s="299" t="s">
        <v>10</v>
      </c>
      <c r="G788" s="516"/>
      <c r="H788" s="298"/>
    </row>
    <row r="789" spans="1:8" ht="14.25" customHeight="1">
      <c r="A789" s="268"/>
      <c r="B789" s="289"/>
      <c r="C789" s="289"/>
      <c r="D789" s="289"/>
      <c r="E789" s="289"/>
      <c r="F789" s="301"/>
      <c r="G789" s="421"/>
      <c r="H789" s="264"/>
    </row>
    <row r="790" spans="1:8" ht="14.25" customHeight="1">
      <c r="A790" s="718" t="s">
        <v>554</v>
      </c>
      <c r="B790" s="289"/>
      <c r="C790" s="289"/>
      <c r="D790" s="289"/>
      <c r="E790" s="289"/>
      <c r="F790" s="289"/>
      <c r="G790" s="299"/>
      <c r="H790" s="302"/>
    </row>
    <row r="791" spans="1:8" ht="14.25" customHeight="1">
      <c r="A791" s="718"/>
      <c r="C791" s="289"/>
      <c r="D791" s="289"/>
      <c r="E791" s="421"/>
      <c r="F791" s="421"/>
      <c r="G791" s="421"/>
      <c r="H791" s="298"/>
    </row>
    <row r="792" spans="1:8" ht="14.25" customHeight="1">
      <c r="A792" s="551" t="s">
        <v>751</v>
      </c>
      <c r="B792" s="469" t="s">
        <v>993</v>
      </c>
      <c r="C792" s="289"/>
      <c r="D792" s="269" t="s">
        <v>1062</v>
      </c>
      <c r="E792" s="289"/>
      <c r="F792" s="289"/>
      <c r="G792" s="421"/>
      <c r="H792" s="298"/>
    </row>
    <row r="793" spans="1:8" ht="14.25" customHeight="1">
      <c r="A793" s="133" t="s">
        <v>1081</v>
      </c>
      <c r="B793" s="133" t="s">
        <v>460</v>
      </c>
      <c r="C793" s="289"/>
      <c r="D793" s="133" t="s">
        <v>1063</v>
      </c>
      <c r="F793" s="312">
        <f>+IF(A793="UFH",G779/344)+IF(A793="radiators",0)</f>
        <v>0</v>
      </c>
      <c r="G793" s="289" t="s">
        <v>527</v>
      </c>
      <c r="H793" s="298"/>
    </row>
    <row r="794" spans="1:8" ht="14.25" customHeight="1">
      <c r="C794" s="289"/>
      <c r="D794" s="289"/>
      <c r="E794" s="289"/>
      <c r="F794" s="289"/>
      <c r="G794" s="421"/>
      <c r="H794" s="298"/>
    </row>
    <row r="795" spans="1:8" ht="14.25" customHeight="1">
      <c r="A795" s="268"/>
      <c r="B795" s="289"/>
      <c r="C795" s="289"/>
      <c r="D795" s="289"/>
      <c r="E795" s="289"/>
      <c r="F795" s="301"/>
      <c r="G795" s="722" t="s">
        <v>553</v>
      </c>
      <c r="H795" s="264"/>
    </row>
    <row r="796" spans="1:8" ht="14.25" customHeight="1">
      <c r="A796" s="468" t="s">
        <v>245</v>
      </c>
      <c r="B796" s="469" t="s">
        <v>126</v>
      </c>
      <c r="C796" s="289"/>
      <c r="D796" s="469" t="s">
        <v>14</v>
      </c>
      <c r="E796" s="469" t="s">
        <v>246</v>
      </c>
      <c r="F796" s="469" t="s">
        <v>15</v>
      </c>
      <c r="G796" s="723"/>
      <c r="H796" s="298"/>
    </row>
    <row r="797" spans="1:8" ht="14.25" customHeight="1">
      <c r="A797" s="23">
        <v>600</v>
      </c>
      <c r="B797" s="11">
        <v>1000</v>
      </c>
      <c r="C797" s="289"/>
      <c r="D797" s="11" t="s">
        <v>832</v>
      </c>
      <c r="E797" s="312">
        <f>A797*B797*1.05*(+IF(D797="SC_type11",0.000764)+IF(D797="DC_type22",0.001421)+IF(D797="DP+type21",0.001121))*('Data Entry Sheet'!$I$28/(B776+30))</f>
        <v>471.88235294117646</v>
      </c>
      <c r="F797" s="428" t="e">
        <f>+IF(A793="Radiators",((E797/G779)-1),"UFH")</f>
        <v>#DIV/0!</v>
      </c>
      <c r="G797" s="309" t="e">
        <f>IF(A793="Radiators",(((-1*F797)*(B776-'Data Entry Sheet'!$D$32))+'Data Entry Sheet'!$D$32),-10)</f>
        <v>#DIV/0!</v>
      </c>
      <c r="H797" s="303" t="s">
        <v>53</v>
      </c>
    </row>
    <row r="798" spans="1:8" ht="14.25" customHeight="1">
      <c r="A798" s="273"/>
      <c r="C798" s="289"/>
      <c r="D798" s="289"/>
      <c r="E798" s="289"/>
      <c r="F798" s="439" t="s">
        <v>199</v>
      </c>
      <c r="G798" s="440" t="e">
        <f>B776-#REF!</f>
        <v>#REF!</v>
      </c>
      <c r="H798" s="298"/>
    </row>
    <row r="799" spans="1:8" ht="14.25" customHeight="1">
      <c r="A799" s="273" t="s">
        <v>552</v>
      </c>
      <c r="B799" s="289"/>
      <c r="C799" s="289"/>
      <c r="D799" s="289"/>
      <c r="E799" s="289"/>
      <c r="F799" s="289"/>
      <c r="G799" s="309">
        <f>'Data Entry Sheet'!$I$29*G779</f>
        <v>0</v>
      </c>
      <c r="H799" s="298" t="s">
        <v>10</v>
      </c>
    </row>
    <row r="800" spans="1:8" ht="14.25" customHeight="1">
      <c r="A800" s="273" t="s">
        <v>551</v>
      </c>
      <c r="B800" s="289"/>
      <c r="C800" s="289"/>
      <c r="D800" s="308"/>
      <c r="E800" s="289"/>
      <c r="F800" s="289"/>
      <c r="G800" s="422"/>
      <c r="H800" s="298"/>
    </row>
    <row r="801" spans="1:8" ht="14.25" customHeight="1">
      <c r="A801" s="273"/>
      <c r="B801" s="289"/>
      <c r="C801" s="289"/>
      <c r="D801" s="308"/>
      <c r="E801" s="289"/>
      <c r="F801" s="289"/>
      <c r="G801" s="422"/>
      <c r="H801" s="298"/>
    </row>
    <row r="802" spans="1:8" ht="14.25" customHeight="1">
      <c r="A802" s="468" t="s">
        <v>550</v>
      </c>
      <c r="B802" s="469" t="s">
        <v>549</v>
      </c>
      <c r="C802" s="469"/>
      <c r="D802" s="469" t="s">
        <v>14</v>
      </c>
      <c r="E802" s="469"/>
      <c r="F802" s="469"/>
      <c r="G802" s="470"/>
      <c r="H802" s="471"/>
    </row>
    <row r="803" spans="1:8" ht="14.25" customHeight="1">
      <c r="A803" s="315">
        <f>A797</f>
        <v>600</v>
      </c>
      <c r="B803" s="316">
        <f>G779/(A797*0.001421)*(30/('Data Entry Sheet'!$I$28-B776))</f>
        <v>0</v>
      </c>
      <c r="C803" s="289"/>
      <c r="D803" s="316" t="s">
        <v>548</v>
      </c>
      <c r="E803" s="289"/>
      <c r="F803" s="289"/>
      <c r="G803" s="470"/>
      <c r="H803" s="471"/>
    </row>
    <row r="804" spans="1:8" ht="14.25" customHeight="1" thickBot="1">
      <c r="A804" s="472"/>
      <c r="B804" s="306"/>
      <c r="C804" s="306"/>
      <c r="D804" s="306"/>
      <c r="E804" s="306"/>
      <c r="F804" s="306"/>
      <c r="G804" s="423"/>
      <c r="H804" s="304"/>
    </row>
    <row r="805" spans="1:8" ht="14.25" customHeight="1" thickBot="1"/>
    <row r="806" spans="1:8" ht="14.25" customHeight="1">
      <c r="A806" s="719" t="s">
        <v>70</v>
      </c>
      <c r="B806" s="292"/>
      <c r="C806" s="293"/>
      <c r="D806" s="293"/>
      <c r="E806" s="293"/>
      <c r="F806" s="294"/>
      <c r="G806" s="419"/>
      <c r="H806" s="295"/>
    </row>
    <row r="807" spans="1:8" ht="14.25" customHeight="1">
      <c r="A807" s="720"/>
      <c r="B807" s="13" t="s">
        <v>1026</v>
      </c>
      <c r="C807" s="269"/>
      <c r="D807" s="299"/>
      <c r="E807" s="269"/>
      <c r="F807" s="269"/>
      <c r="G807" s="516"/>
      <c r="H807" s="264"/>
    </row>
    <row r="808" spans="1:8" ht="14.25" customHeight="1">
      <c r="A808" s="273" t="s">
        <v>568</v>
      </c>
      <c r="B808" s="14">
        <v>21</v>
      </c>
      <c r="C808" s="397"/>
      <c r="D808" s="516" t="s">
        <v>567</v>
      </c>
      <c r="E808" s="516" t="s">
        <v>9</v>
      </c>
      <c r="F808" s="296"/>
      <c r="G808" s="297" t="s">
        <v>566</v>
      </c>
      <c r="H808" s="298"/>
    </row>
    <row r="809" spans="1:8" ht="14.25" customHeight="1">
      <c r="A809" s="273" t="s">
        <v>565</v>
      </c>
      <c r="B809" s="14">
        <v>2.4</v>
      </c>
      <c r="C809" s="397"/>
      <c r="D809" s="269"/>
      <c r="E809" s="516"/>
      <c r="F809" s="296"/>
      <c r="G809" s="516"/>
      <c r="H809" s="298"/>
    </row>
    <row r="810" spans="1:8" ht="14.25" customHeight="1">
      <c r="A810" s="273" t="s">
        <v>564</v>
      </c>
      <c r="B810" s="15">
        <v>0</v>
      </c>
      <c r="C810" s="397"/>
      <c r="D810" s="269"/>
      <c r="E810" s="269"/>
      <c r="F810" s="296"/>
      <c r="G810" s="516"/>
      <c r="H810" s="298"/>
    </row>
    <row r="811" spans="1:8" ht="14.25" customHeight="1">
      <c r="A811" s="272" t="s">
        <v>563</v>
      </c>
      <c r="B811" s="604" t="s">
        <v>1064</v>
      </c>
      <c r="C811" s="269"/>
      <c r="D811" s="464">
        <f>VLOOKUP(B811,$I$23:$J$49,2,FALSE)</f>
        <v>2.11</v>
      </c>
      <c r="E811" s="311">
        <f>(((B809)*B810)-B812)*(D811+0.15)*(B808-'Data Entry Sheet'!$D$32)</f>
        <v>0</v>
      </c>
      <c r="F811" s="299" t="s">
        <v>10</v>
      </c>
      <c r="G811" s="309">
        <f>SUM(E811:E820)*((B809+81)/83.6)</f>
        <v>0</v>
      </c>
      <c r="H811" s="264"/>
    </row>
    <row r="812" spans="1:8" ht="14.25" customHeight="1" thickBot="1">
      <c r="A812" s="290" t="s">
        <v>562</v>
      </c>
      <c r="B812" s="15">
        <v>0</v>
      </c>
      <c r="C812" s="269"/>
      <c r="D812" s="397"/>
      <c r="E812" s="289"/>
      <c r="F812" s="299"/>
      <c r="G812" s="297" t="s">
        <v>243</v>
      </c>
      <c r="H812" s="298"/>
    </row>
    <row r="813" spans="1:8" ht="14.25" customHeight="1" thickBot="1">
      <c r="A813" s="290" t="s">
        <v>561</v>
      </c>
      <c r="B813" s="604" t="s">
        <v>1064</v>
      </c>
      <c r="C813" s="269"/>
      <c r="D813" s="464">
        <f>VLOOKUP(B813,$I$4:$J$16,2,FALSE)</f>
        <v>2.8</v>
      </c>
      <c r="E813" s="311">
        <f>B812*(D813+0.15)*(B808-'Data Entry Sheet'!$D$32)</f>
        <v>0</v>
      </c>
      <c r="F813" s="299" t="s">
        <v>10</v>
      </c>
      <c r="G813" s="420" t="e">
        <f>G811/B817</f>
        <v>#DIV/0!</v>
      </c>
      <c r="H813" s="264"/>
    </row>
    <row r="814" spans="1:8" ht="14.25" customHeight="1">
      <c r="A814" s="290" t="s">
        <v>560</v>
      </c>
      <c r="B814" s="604">
        <v>0</v>
      </c>
      <c r="C814" s="397"/>
      <c r="D814" s="516"/>
      <c r="E814" s="305"/>
      <c r="F814" s="299"/>
      <c r="G814" s="470" t="s">
        <v>127</v>
      </c>
      <c r="H814" s="298"/>
    </row>
    <row r="815" spans="1:8" ht="14.25" customHeight="1">
      <c r="A815" s="290" t="s">
        <v>559</v>
      </c>
      <c r="B815" s="604">
        <v>0</v>
      </c>
      <c r="C815" s="397"/>
      <c r="D815" s="516"/>
      <c r="E815" s="305"/>
      <c r="F815" s="299"/>
      <c r="G815" s="309">
        <f>+IF(A825="UFH",(G811*0.71/85),((+IF(D829="dp+type21",14.5)+IF(D829="SC_type11",7.3)+IF(D829="SC",7)+IF(D829="DC_type22",14.5))*(A829*B829))/1000000)</f>
        <v>4.38</v>
      </c>
      <c r="H815" s="298" t="s">
        <v>244</v>
      </c>
    </row>
    <row r="816" spans="1:8" ht="14.25" customHeight="1">
      <c r="A816" s="290" t="s">
        <v>558</v>
      </c>
      <c r="B816" s="604" t="s">
        <v>1064</v>
      </c>
      <c r="C816" s="269"/>
      <c r="D816" s="464">
        <f>VLOOKUP(B816,$I$81:$J$100,2,FALSE)</f>
        <v>0.2</v>
      </c>
      <c r="E816" s="311">
        <f>((B814-B815)*(D816+0.15)*(B808-'Data Entry Sheet'!D832))+(B815*(B808-'Data Entry Sheet'!$D$32)*2.8)</f>
        <v>0</v>
      </c>
      <c r="F816" s="299" t="s">
        <v>10</v>
      </c>
      <c r="G816" s="516"/>
      <c r="H816" s="298"/>
    </row>
    <row r="817" spans="1:8" ht="14.25" customHeight="1">
      <c r="A817" s="290" t="s">
        <v>557</v>
      </c>
      <c r="B817" s="604">
        <v>0</v>
      </c>
      <c r="C817" s="397"/>
      <c r="D817" s="305"/>
      <c r="E817" s="305"/>
      <c r="F817" s="300"/>
      <c r="G817" s="516"/>
      <c r="H817" s="298"/>
    </row>
    <row r="818" spans="1:8" ht="14.25" customHeight="1">
      <c r="A818" s="290" t="s">
        <v>556</v>
      </c>
      <c r="B818" s="604" t="s">
        <v>1064</v>
      </c>
      <c r="C818" s="269"/>
      <c r="D818" s="464">
        <f>VLOOKUP(B818,$I$54:$J$75,2,FALSE)</f>
        <v>1</v>
      </c>
      <c r="E818" s="311">
        <f>B817*(D818+0.15)*(B808-( IF(B818="suspended wood ",'Data Entry Sheet'!$D$32,'Data Entry Sheet'!$D$33)))</f>
        <v>0</v>
      </c>
      <c r="F818" s="299" t="s">
        <v>10</v>
      </c>
      <c r="G818" s="516"/>
      <c r="H818" s="298"/>
    </row>
    <row r="819" spans="1:8" ht="14.25" customHeight="1">
      <c r="A819" s="290"/>
      <c r="B819" s="289"/>
      <c r="C819" s="516"/>
      <c r="D819" s="307"/>
      <c r="E819" s="307"/>
      <c r="F819" s="299"/>
      <c r="G819" s="516"/>
      <c r="H819" s="298"/>
    </row>
    <row r="820" spans="1:8" ht="14.25" customHeight="1">
      <c r="A820" s="291" t="s">
        <v>555</v>
      </c>
      <c r="B820" s="604" t="s">
        <v>972</v>
      </c>
      <c r="C820" s="269"/>
      <c r="D820" s="464">
        <f>VLOOKUP(B820,$I$113:J923,2,FALSE)</f>
        <v>1.5</v>
      </c>
      <c r="E820" s="311">
        <f>(B808-'Data Entry Sheet'!$D$32)*0.33*(B817*B809)*D820</f>
        <v>0</v>
      </c>
      <c r="F820" s="299" t="s">
        <v>10</v>
      </c>
      <c r="G820" s="516"/>
      <c r="H820" s="298"/>
    </row>
    <row r="821" spans="1:8" ht="14.25" customHeight="1">
      <c r="A821" s="268"/>
      <c r="B821" s="289"/>
      <c r="C821" s="289"/>
      <c r="D821" s="289"/>
      <c r="E821" s="289"/>
      <c r="F821" s="301"/>
      <c r="G821" s="421"/>
      <c r="H821" s="264"/>
    </row>
    <row r="822" spans="1:8" ht="14.25" customHeight="1">
      <c r="A822" s="718" t="s">
        <v>554</v>
      </c>
      <c r="B822" s="289"/>
      <c r="C822" s="289"/>
      <c r="D822" s="289"/>
      <c r="E822" s="289"/>
      <c r="F822" s="289"/>
      <c r="G822" s="299"/>
      <c r="H822" s="302"/>
    </row>
    <row r="823" spans="1:8" ht="14.25" customHeight="1">
      <c r="A823" s="718"/>
      <c r="C823" s="289"/>
      <c r="D823" s="289"/>
      <c r="E823" s="421"/>
      <c r="F823" s="421"/>
      <c r="G823" s="421"/>
      <c r="H823" s="298"/>
    </row>
    <row r="824" spans="1:8" ht="14.25" customHeight="1">
      <c r="A824" s="551" t="s">
        <v>751</v>
      </c>
      <c r="B824" s="469" t="s">
        <v>993</v>
      </c>
      <c r="C824" s="289"/>
      <c r="D824" s="269" t="s">
        <v>1062</v>
      </c>
      <c r="E824" s="289"/>
      <c r="F824" s="289"/>
      <c r="G824" s="421"/>
      <c r="H824" s="298"/>
    </row>
    <row r="825" spans="1:8" ht="14.25" customHeight="1">
      <c r="A825" s="133" t="s">
        <v>1081</v>
      </c>
      <c r="B825" s="133" t="s">
        <v>460</v>
      </c>
      <c r="C825" s="289"/>
      <c r="D825" s="133" t="s">
        <v>1063</v>
      </c>
      <c r="F825" s="312">
        <f>+IF(A825="UFH",G811/344)+IF(A825="radiators",0)</f>
        <v>0</v>
      </c>
      <c r="G825" s="289" t="s">
        <v>527</v>
      </c>
      <c r="H825" s="298"/>
    </row>
    <row r="826" spans="1:8" ht="14.25" customHeight="1">
      <c r="C826" s="289"/>
      <c r="D826" s="289"/>
      <c r="E826" s="289"/>
      <c r="F826" s="289"/>
      <c r="G826" s="421"/>
      <c r="H826" s="298"/>
    </row>
    <row r="827" spans="1:8" ht="14.25" customHeight="1">
      <c r="A827" s="268"/>
      <c r="B827" s="289"/>
      <c r="C827" s="289"/>
      <c r="D827" s="289"/>
      <c r="E827" s="289"/>
      <c r="F827" s="301"/>
      <c r="G827" s="722" t="s">
        <v>553</v>
      </c>
      <c r="H827" s="264"/>
    </row>
    <row r="828" spans="1:8" ht="14.25" customHeight="1">
      <c r="A828" s="468" t="s">
        <v>245</v>
      </c>
      <c r="B828" s="469" t="s">
        <v>126</v>
      </c>
      <c r="C828" s="289"/>
      <c r="D828" s="469" t="s">
        <v>14</v>
      </c>
      <c r="E828" s="469" t="s">
        <v>246</v>
      </c>
      <c r="F828" s="469" t="s">
        <v>15</v>
      </c>
      <c r="G828" s="723"/>
      <c r="H828" s="298"/>
    </row>
    <row r="829" spans="1:8" ht="14.25" customHeight="1">
      <c r="A829" s="23">
        <v>600</v>
      </c>
      <c r="B829" s="11">
        <v>1000</v>
      </c>
      <c r="C829" s="289"/>
      <c r="D829" s="11" t="s">
        <v>832</v>
      </c>
      <c r="E829" s="312">
        <f>A829*B829*1.05*(+IF(D829="SC_type11",0.000764)+IF(D829="DC_type22",0.001421)+IF(D829="DP+type21",0.001121))*('Data Entry Sheet'!$I$28/(B808+30))</f>
        <v>471.88235294117646</v>
      </c>
      <c r="F829" s="428" t="e">
        <f>+IF(A825="Radiators",((E829/G811)-1),"UFH")</f>
        <v>#DIV/0!</v>
      </c>
      <c r="G829" s="309" t="e">
        <f>IF(A825="Radiators",(((-1*F829)*(B808-'Data Entry Sheet'!$D$32))+'Data Entry Sheet'!$D$32),-10)</f>
        <v>#DIV/0!</v>
      </c>
      <c r="H829" s="303" t="s">
        <v>53</v>
      </c>
    </row>
    <row r="830" spans="1:8" ht="14.25" customHeight="1">
      <c r="A830" s="273"/>
      <c r="C830" s="289"/>
      <c r="D830" s="289"/>
      <c r="E830" s="289"/>
      <c r="F830" s="439" t="s">
        <v>199</v>
      </c>
      <c r="G830" s="440" t="e">
        <f>B808-#REF!</f>
        <v>#REF!</v>
      </c>
      <c r="H830" s="298"/>
    </row>
    <row r="831" spans="1:8" ht="14.25" customHeight="1">
      <c r="A831" s="273" t="s">
        <v>552</v>
      </c>
      <c r="B831" s="289"/>
      <c r="C831" s="289"/>
      <c r="D831" s="289"/>
      <c r="E831" s="289"/>
      <c r="F831" s="289"/>
      <c r="G831" s="309">
        <f>'Data Entry Sheet'!$I$29*G811</f>
        <v>0</v>
      </c>
      <c r="H831" s="298" t="s">
        <v>10</v>
      </c>
    </row>
    <row r="832" spans="1:8" ht="14.25" customHeight="1">
      <c r="A832" s="273" t="s">
        <v>551</v>
      </c>
      <c r="B832" s="289"/>
      <c r="C832" s="289"/>
      <c r="D832" s="308"/>
      <c r="E832" s="289"/>
      <c r="F832" s="289"/>
      <c r="G832" s="422"/>
      <c r="H832" s="298"/>
    </row>
    <row r="833" spans="1:8" ht="14.25" customHeight="1">
      <c r="A833" s="273"/>
      <c r="B833" s="289"/>
      <c r="C833" s="289"/>
      <c r="D833" s="308"/>
      <c r="E833" s="289"/>
      <c r="F833" s="289"/>
      <c r="G833" s="422"/>
      <c r="H833" s="298"/>
    </row>
    <row r="834" spans="1:8" ht="14.25" customHeight="1">
      <c r="A834" s="468" t="s">
        <v>550</v>
      </c>
      <c r="B834" s="469" t="s">
        <v>549</v>
      </c>
      <c r="C834" s="469"/>
      <c r="D834" s="469" t="s">
        <v>14</v>
      </c>
      <c r="E834" s="469"/>
      <c r="F834" s="469"/>
      <c r="G834" s="470"/>
      <c r="H834" s="471"/>
    </row>
    <row r="835" spans="1:8" ht="14.25" customHeight="1">
      <c r="A835" s="315">
        <f>A829</f>
        <v>600</v>
      </c>
      <c r="B835" s="316">
        <f>G811/(A829*0.001421)*(30/('Data Entry Sheet'!$I$28-B808))</f>
        <v>0</v>
      </c>
      <c r="C835" s="289"/>
      <c r="D835" s="316" t="s">
        <v>548</v>
      </c>
      <c r="E835" s="289"/>
      <c r="F835" s="289"/>
      <c r="G835" s="470"/>
      <c r="H835" s="471"/>
    </row>
    <row r="836" spans="1:8" ht="14.25" customHeight="1" thickBot="1">
      <c r="A836" s="472"/>
      <c r="B836" s="306"/>
      <c r="C836" s="306"/>
      <c r="D836" s="306"/>
      <c r="E836" s="306"/>
      <c r="F836" s="306"/>
      <c r="G836" s="423"/>
      <c r="H836" s="304"/>
    </row>
    <row r="837" spans="1:8" ht="14.25" customHeight="1" thickBot="1"/>
    <row r="838" spans="1:8" ht="14.25" customHeight="1">
      <c r="A838" s="719" t="s">
        <v>70</v>
      </c>
      <c r="B838" s="292"/>
      <c r="C838" s="293"/>
      <c r="D838" s="293"/>
      <c r="E838" s="293"/>
      <c r="F838" s="294"/>
      <c r="G838" s="419"/>
      <c r="H838" s="295"/>
    </row>
    <row r="839" spans="1:8" ht="14.25" customHeight="1">
      <c r="A839" s="720"/>
      <c r="B839" s="13" t="s">
        <v>1027</v>
      </c>
      <c r="C839" s="269"/>
      <c r="D839" s="299"/>
      <c r="E839" s="269"/>
      <c r="F839" s="269"/>
      <c r="G839" s="516"/>
      <c r="H839" s="264"/>
    </row>
    <row r="840" spans="1:8" ht="14.25" customHeight="1">
      <c r="A840" s="273" t="s">
        <v>568</v>
      </c>
      <c r="B840" s="14">
        <v>21</v>
      </c>
      <c r="C840" s="397"/>
      <c r="D840" s="516" t="s">
        <v>567</v>
      </c>
      <c r="E840" s="516" t="s">
        <v>9</v>
      </c>
      <c r="F840" s="296"/>
      <c r="G840" s="297" t="s">
        <v>566</v>
      </c>
      <c r="H840" s="298"/>
    </row>
    <row r="841" spans="1:8" ht="14.25" customHeight="1">
      <c r="A841" s="273" t="s">
        <v>565</v>
      </c>
      <c r="B841" s="14">
        <v>2.4</v>
      </c>
      <c r="C841" s="397"/>
      <c r="D841" s="269"/>
      <c r="E841" s="516"/>
      <c r="F841" s="296"/>
      <c r="G841" s="516"/>
      <c r="H841" s="298"/>
    </row>
    <row r="842" spans="1:8" ht="14.25" customHeight="1">
      <c r="A842" s="273" t="s">
        <v>564</v>
      </c>
      <c r="B842" s="15">
        <v>0</v>
      </c>
      <c r="C842" s="397"/>
      <c r="D842" s="269"/>
      <c r="E842" s="269"/>
      <c r="F842" s="296"/>
      <c r="G842" s="516"/>
      <c r="H842" s="298"/>
    </row>
    <row r="843" spans="1:8" ht="14.25" customHeight="1">
      <c r="A843" s="272" t="s">
        <v>563</v>
      </c>
      <c r="B843" s="604" t="s">
        <v>1064</v>
      </c>
      <c r="C843" s="269"/>
      <c r="D843" s="464">
        <f>VLOOKUP(B843,$I$23:$J$49,2,FALSE)</f>
        <v>2.11</v>
      </c>
      <c r="E843" s="311">
        <f>(((B841)*B842)-B844)*(D843+0.15)*(B840-'Data Entry Sheet'!$D$32)</f>
        <v>0</v>
      </c>
      <c r="F843" s="299" t="s">
        <v>10</v>
      </c>
      <c r="G843" s="309">
        <f>SUM(E843:E852)*((B841+81)/83.6)</f>
        <v>0</v>
      </c>
      <c r="H843" s="264"/>
    </row>
    <row r="844" spans="1:8" ht="14.25" customHeight="1" thickBot="1">
      <c r="A844" s="290" t="s">
        <v>562</v>
      </c>
      <c r="B844" s="15">
        <v>0</v>
      </c>
      <c r="C844" s="269"/>
      <c r="D844" s="397"/>
      <c r="E844" s="289"/>
      <c r="F844" s="299"/>
      <c r="G844" s="297" t="s">
        <v>243</v>
      </c>
      <c r="H844" s="298"/>
    </row>
    <row r="845" spans="1:8" ht="14.25" customHeight="1" thickBot="1">
      <c r="A845" s="290" t="s">
        <v>561</v>
      </c>
      <c r="B845" s="604" t="s">
        <v>1064</v>
      </c>
      <c r="C845" s="269"/>
      <c r="D845" s="464">
        <f>VLOOKUP(B845,$I$4:$J$16,2,FALSE)</f>
        <v>2.8</v>
      </c>
      <c r="E845" s="311">
        <f>B844*(D845+0.15)*(B840-'Data Entry Sheet'!$D$32)</f>
        <v>0</v>
      </c>
      <c r="F845" s="299" t="s">
        <v>10</v>
      </c>
      <c r="G845" s="420" t="e">
        <f>G843/B849</f>
        <v>#DIV/0!</v>
      </c>
      <c r="H845" s="264"/>
    </row>
    <row r="846" spans="1:8" ht="14.25" customHeight="1">
      <c r="A846" s="290" t="s">
        <v>560</v>
      </c>
      <c r="B846" s="604">
        <v>0</v>
      </c>
      <c r="C846" s="397"/>
      <c r="D846" s="516"/>
      <c r="E846" s="305"/>
      <c r="F846" s="299"/>
      <c r="G846" s="470" t="s">
        <v>127</v>
      </c>
      <c r="H846" s="298"/>
    </row>
    <row r="847" spans="1:8" ht="14.25" customHeight="1">
      <c r="A847" s="290" t="s">
        <v>559</v>
      </c>
      <c r="B847" s="604">
        <v>0</v>
      </c>
      <c r="C847" s="397"/>
      <c r="D847" s="516"/>
      <c r="E847" s="305"/>
      <c r="F847" s="299"/>
      <c r="G847" s="309">
        <f>+IF(A857="UFH",(G843*0.71/85),((+IF(D861="dp+type21",14.5)+IF(D861="SC_type11",7.3)+IF(D861="SC",7)+IF(D861="DC_type22",14.5))*(A861*B861))/1000000)</f>
        <v>4.38</v>
      </c>
      <c r="H847" s="298" t="s">
        <v>244</v>
      </c>
    </row>
    <row r="848" spans="1:8" ht="14.25" customHeight="1">
      <c r="A848" s="290" t="s">
        <v>558</v>
      </c>
      <c r="B848" s="604" t="s">
        <v>1064</v>
      </c>
      <c r="C848" s="269"/>
      <c r="D848" s="464">
        <f>VLOOKUP(B848,$I$81:$J$100,2,FALSE)</f>
        <v>0.2</v>
      </c>
      <c r="E848" s="311">
        <f>((B846-B847)*(D848+0.15)*(B840-'Data Entry Sheet'!D864))+(B847*(B840-'Data Entry Sheet'!$D$32)*2.8)</f>
        <v>0</v>
      </c>
      <c r="F848" s="299" t="s">
        <v>10</v>
      </c>
      <c r="G848" s="516"/>
      <c r="H848" s="298"/>
    </row>
    <row r="849" spans="1:8" ht="14.25" customHeight="1">
      <c r="A849" s="290" t="s">
        <v>557</v>
      </c>
      <c r="B849" s="604">
        <v>0</v>
      </c>
      <c r="C849" s="397"/>
      <c r="D849" s="305"/>
      <c r="E849" s="305"/>
      <c r="F849" s="300"/>
      <c r="G849" s="516"/>
      <c r="H849" s="298"/>
    </row>
    <row r="850" spans="1:8" ht="14.25" customHeight="1">
      <c r="A850" s="290" t="s">
        <v>556</v>
      </c>
      <c r="B850" s="604" t="s">
        <v>1064</v>
      </c>
      <c r="C850" s="269"/>
      <c r="D850" s="464">
        <f>VLOOKUP(B850,$I$54:$J$75,2,FALSE)</f>
        <v>1</v>
      </c>
      <c r="E850" s="311">
        <f>B849*(D850+0.15)*(B840-( IF(B850="suspended wood ",'Data Entry Sheet'!$D$32,'Data Entry Sheet'!$D$33)))</f>
        <v>0</v>
      </c>
      <c r="F850" s="299" t="s">
        <v>10</v>
      </c>
      <c r="G850" s="516"/>
      <c r="H850" s="298"/>
    </row>
    <row r="851" spans="1:8" ht="14.25" customHeight="1">
      <c r="A851" s="290"/>
      <c r="B851" s="289"/>
      <c r="C851" s="516"/>
      <c r="D851" s="307"/>
      <c r="E851" s="307"/>
      <c r="F851" s="299"/>
      <c r="G851" s="516"/>
      <c r="H851" s="298"/>
    </row>
    <row r="852" spans="1:8" ht="14.25" customHeight="1">
      <c r="A852" s="291" t="s">
        <v>555</v>
      </c>
      <c r="B852" s="604" t="s">
        <v>972</v>
      </c>
      <c r="C852" s="269"/>
      <c r="D852" s="464">
        <f>VLOOKUP(B852,$I$113:J955,2,FALSE)</f>
        <v>1.5</v>
      </c>
      <c r="E852" s="311">
        <f>(B840-'Data Entry Sheet'!$D$32)*0.33*(B849*B841)*D852</f>
        <v>0</v>
      </c>
      <c r="F852" s="299" t="s">
        <v>10</v>
      </c>
      <c r="G852" s="516"/>
      <c r="H852" s="298"/>
    </row>
    <row r="853" spans="1:8" ht="14.25" customHeight="1">
      <c r="A853" s="268"/>
      <c r="B853" s="289"/>
      <c r="C853" s="289"/>
      <c r="D853" s="289"/>
      <c r="E853" s="289"/>
      <c r="F853" s="301"/>
      <c r="G853" s="421"/>
      <c r="H853" s="264"/>
    </row>
    <row r="854" spans="1:8" ht="14.25" customHeight="1">
      <c r="A854" s="718" t="s">
        <v>554</v>
      </c>
      <c r="B854" s="289"/>
      <c r="C854" s="289"/>
      <c r="D854" s="289"/>
      <c r="E854" s="289"/>
      <c r="F854" s="289"/>
      <c r="G854" s="299"/>
      <c r="H854" s="302"/>
    </row>
    <row r="855" spans="1:8" ht="14.25" customHeight="1">
      <c r="A855" s="718"/>
      <c r="C855" s="289"/>
      <c r="D855" s="289"/>
      <c r="E855" s="421"/>
      <c r="F855" s="421"/>
      <c r="G855" s="421"/>
      <c r="H855" s="298"/>
    </row>
    <row r="856" spans="1:8" ht="14.25" customHeight="1">
      <c r="A856" s="551" t="s">
        <v>751</v>
      </c>
      <c r="B856" s="469" t="s">
        <v>993</v>
      </c>
      <c r="C856" s="289"/>
      <c r="D856" s="269" t="s">
        <v>1062</v>
      </c>
      <c r="E856" s="289"/>
      <c r="F856" s="289"/>
      <c r="G856" s="421"/>
      <c r="H856" s="298"/>
    </row>
    <row r="857" spans="1:8" ht="14.25" customHeight="1">
      <c r="A857" s="133" t="s">
        <v>1081</v>
      </c>
      <c r="B857" s="133" t="s">
        <v>460</v>
      </c>
      <c r="C857" s="289"/>
      <c r="D857" s="133" t="s">
        <v>1063</v>
      </c>
      <c r="F857" s="312">
        <f>+IF(A857="UFH",G843/344)+IF(A857="radiators",0)</f>
        <v>0</v>
      </c>
      <c r="G857" s="289" t="s">
        <v>527</v>
      </c>
      <c r="H857" s="298"/>
    </row>
    <row r="858" spans="1:8" ht="14.25" customHeight="1">
      <c r="C858" s="289"/>
      <c r="D858" s="289"/>
      <c r="E858" s="289"/>
      <c r="F858" s="289"/>
      <c r="G858" s="421"/>
      <c r="H858" s="298"/>
    </row>
    <row r="859" spans="1:8" ht="14.25" customHeight="1">
      <c r="A859" s="268"/>
      <c r="B859" s="289"/>
      <c r="C859" s="289"/>
      <c r="D859" s="289"/>
      <c r="E859" s="289"/>
      <c r="F859" s="301"/>
      <c r="G859" s="722" t="s">
        <v>553</v>
      </c>
      <c r="H859" s="264"/>
    </row>
    <row r="860" spans="1:8" ht="14.25" customHeight="1">
      <c r="A860" s="468" t="s">
        <v>245</v>
      </c>
      <c r="B860" s="469" t="s">
        <v>126</v>
      </c>
      <c r="C860" s="289"/>
      <c r="D860" s="469" t="s">
        <v>14</v>
      </c>
      <c r="E860" s="469" t="s">
        <v>246</v>
      </c>
      <c r="F860" s="469" t="s">
        <v>15</v>
      </c>
      <c r="G860" s="723"/>
      <c r="H860" s="298"/>
    </row>
    <row r="861" spans="1:8" ht="14.25" customHeight="1">
      <c r="A861" s="23">
        <v>600</v>
      </c>
      <c r="B861" s="11">
        <v>1000</v>
      </c>
      <c r="C861" s="289"/>
      <c r="D861" s="11" t="s">
        <v>832</v>
      </c>
      <c r="E861" s="312">
        <f>A861*B861*1.05*(+IF(D861="SC_type11",0.000764)+IF(D861="DC_type22",0.001421)+IF(D861="DP+type21",0.001121))*('Data Entry Sheet'!$I$28/(B840+30))</f>
        <v>471.88235294117646</v>
      </c>
      <c r="F861" s="428" t="e">
        <f>+IF(A857="Radiators",((E861/G843)-1),"UFH")</f>
        <v>#DIV/0!</v>
      </c>
      <c r="G861" s="309" t="e">
        <f>IF(A857="Radiators",(((-1*F861)*(B840-'Data Entry Sheet'!$D$32))+'Data Entry Sheet'!$D$32),-10)</f>
        <v>#DIV/0!</v>
      </c>
      <c r="H861" s="303" t="s">
        <v>53</v>
      </c>
    </row>
    <row r="862" spans="1:8" ht="14.25" customHeight="1">
      <c r="A862" s="273"/>
      <c r="C862" s="289"/>
      <c r="D862" s="289"/>
      <c r="E862" s="289"/>
      <c r="F862" s="439" t="s">
        <v>199</v>
      </c>
      <c r="G862" s="440" t="e">
        <f>B840-#REF!</f>
        <v>#REF!</v>
      </c>
      <c r="H862" s="298"/>
    </row>
    <row r="863" spans="1:8" ht="14.25" customHeight="1">
      <c r="A863" s="273" t="s">
        <v>552</v>
      </c>
      <c r="B863" s="289"/>
      <c r="C863" s="289"/>
      <c r="D863" s="289"/>
      <c r="E863" s="289"/>
      <c r="F863" s="289"/>
      <c r="G863" s="309">
        <f>'Data Entry Sheet'!$I$29*G843</f>
        <v>0</v>
      </c>
      <c r="H863" s="298" t="s">
        <v>10</v>
      </c>
    </row>
    <row r="864" spans="1:8" ht="14.25" customHeight="1">
      <c r="A864" s="273" t="s">
        <v>551</v>
      </c>
      <c r="B864" s="289"/>
      <c r="C864" s="289"/>
      <c r="D864" s="308"/>
      <c r="E864" s="289"/>
      <c r="F864" s="289"/>
      <c r="G864" s="422"/>
      <c r="H864" s="298"/>
    </row>
    <row r="865" spans="1:8" ht="14.25" customHeight="1">
      <c r="A865" s="273"/>
      <c r="B865" s="289"/>
      <c r="C865" s="289"/>
      <c r="D865" s="308"/>
      <c r="E865" s="289"/>
      <c r="F865" s="289"/>
      <c r="G865" s="422"/>
      <c r="H865" s="298"/>
    </row>
    <row r="866" spans="1:8" ht="14.25" customHeight="1">
      <c r="A866" s="468" t="s">
        <v>550</v>
      </c>
      <c r="B866" s="469" t="s">
        <v>549</v>
      </c>
      <c r="C866" s="469"/>
      <c r="D866" s="469" t="s">
        <v>14</v>
      </c>
      <c r="E866" s="469"/>
      <c r="F866" s="469"/>
      <c r="G866" s="470"/>
      <c r="H866" s="471"/>
    </row>
    <row r="867" spans="1:8" ht="14.25" customHeight="1">
      <c r="A867" s="315">
        <f>A861</f>
        <v>600</v>
      </c>
      <c r="B867" s="316">
        <f>G843/(A861*0.001421)*(30/('Data Entry Sheet'!$I$28-B840))</f>
        <v>0</v>
      </c>
      <c r="C867" s="289"/>
      <c r="D867" s="316" t="s">
        <v>548</v>
      </c>
      <c r="E867" s="289"/>
      <c r="F867" s="289"/>
      <c r="G867" s="470"/>
      <c r="H867" s="471"/>
    </row>
    <row r="868" spans="1:8" ht="14.25" customHeight="1" thickBot="1">
      <c r="A868" s="472"/>
      <c r="B868" s="306"/>
      <c r="C868" s="306"/>
      <c r="D868" s="306"/>
      <c r="E868" s="306"/>
      <c r="F868" s="306"/>
      <c r="G868" s="423"/>
      <c r="H868" s="304"/>
    </row>
    <row r="869" spans="1:8" ht="14.25" customHeight="1" thickBot="1"/>
    <row r="870" spans="1:8" ht="14.25" customHeight="1">
      <c r="A870" s="719" t="s">
        <v>70</v>
      </c>
      <c r="B870" s="292"/>
      <c r="C870" s="293"/>
      <c r="D870" s="293"/>
      <c r="E870" s="293"/>
      <c r="F870" s="294"/>
      <c r="G870" s="419"/>
      <c r="H870" s="295"/>
    </row>
    <row r="871" spans="1:8" ht="14.25" customHeight="1">
      <c r="A871" s="720"/>
      <c r="B871" s="13" t="s">
        <v>1028</v>
      </c>
      <c r="C871" s="269"/>
      <c r="D871" s="299"/>
      <c r="E871" s="269"/>
      <c r="F871" s="269"/>
      <c r="G871" s="516"/>
      <c r="H871" s="264"/>
    </row>
    <row r="872" spans="1:8" ht="14.25" customHeight="1">
      <c r="A872" s="273" t="s">
        <v>568</v>
      </c>
      <c r="B872" s="14">
        <v>21</v>
      </c>
      <c r="C872" s="397"/>
      <c r="D872" s="516" t="s">
        <v>567</v>
      </c>
      <c r="E872" s="516" t="s">
        <v>9</v>
      </c>
      <c r="F872" s="296"/>
      <c r="G872" s="297" t="s">
        <v>566</v>
      </c>
      <c r="H872" s="298"/>
    </row>
    <row r="873" spans="1:8" ht="14.25" customHeight="1">
      <c r="A873" s="273" t="s">
        <v>565</v>
      </c>
      <c r="B873" s="14">
        <v>2.4</v>
      </c>
      <c r="C873" s="397"/>
      <c r="D873" s="269"/>
      <c r="E873" s="516"/>
      <c r="F873" s="296"/>
      <c r="G873" s="516"/>
      <c r="H873" s="298"/>
    </row>
    <row r="874" spans="1:8" ht="14.25" customHeight="1">
      <c r="A874" s="273" t="s">
        <v>564</v>
      </c>
      <c r="B874" s="15">
        <v>0</v>
      </c>
      <c r="C874" s="397"/>
      <c r="D874" s="269"/>
      <c r="E874" s="269"/>
      <c r="F874" s="296"/>
      <c r="G874" s="516"/>
      <c r="H874" s="298"/>
    </row>
    <row r="875" spans="1:8" ht="14.25" customHeight="1">
      <c r="A875" s="272" t="s">
        <v>563</v>
      </c>
      <c r="B875" s="604" t="s">
        <v>1064</v>
      </c>
      <c r="C875" s="269"/>
      <c r="D875" s="464">
        <f>VLOOKUP(B875,$I$23:$J$49,2,FALSE)</f>
        <v>2.11</v>
      </c>
      <c r="E875" s="311">
        <f>(((B873)*B874)-B876)*(D875+0.15)*(B872-'Data Entry Sheet'!$D$32)</f>
        <v>0</v>
      </c>
      <c r="F875" s="299" t="s">
        <v>10</v>
      </c>
      <c r="G875" s="309">
        <f>SUM(E875:E884)*((B873+81)/83.6)</f>
        <v>0</v>
      </c>
      <c r="H875" s="264"/>
    </row>
    <row r="876" spans="1:8" ht="14.25" customHeight="1" thickBot="1">
      <c r="A876" s="290" t="s">
        <v>562</v>
      </c>
      <c r="B876" s="15">
        <v>0</v>
      </c>
      <c r="C876" s="269"/>
      <c r="D876" s="397"/>
      <c r="E876" s="289"/>
      <c r="F876" s="299"/>
      <c r="G876" s="297" t="s">
        <v>243</v>
      </c>
      <c r="H876" s="298"/>
    </row>
    <row r="877" spans="1:8" ht="14.25" customHeight="1" thickBot="1">
      <c r="A877" s="290" t="s">
        <v>561</v>
      </c>
      <c r="B877" s="604" t="s">
        <v>1064</v>
      </c>
      <c r="C877" s="269"/>
      <c r="D877" s="464">
        <f>VLOOKUP(B877,$I$4:$J$16,2,FALSE)</f>
        <v>2.8</v>
      </c>
      <c r="E877" s="311">
        <f>B876*(D877+0.15)*(B872-'Data Entry Sheet'!$D$32)</f>
        <v>0</v>
      </c>
      <c r="F877" s="299" t="s">
        <v>10</v>
      </c>
      <c r="G877" s="420" t="e">
        <f>G875/B881</f>
        <v>#DIV/0!</v>
      </c>
      <c r="H877" s="264"/>
    </row>
    <row r="878" spans="1:8" ht="14.25" customHeight="1">
      <c r="A878" s="290" t="s">
        <v>560</v>
      </c>
      <c r="B878" s="604">
        <v>0</v>
      </c>
      <c r="C878" s="397"/>
      <c r="D878" s="516"/>
      <c r="E878" s="305"/>
      <c r="F878" s="299"/>
      <c r="G878" s="470" t="s">
        <v>127</v>
      </c>
      <c r="H878" s="298"/>
    </row>
    <row r="879" spans="1:8" ht="14.25" customHeight="1">
      <c r="A879" s="290" t="s">
        <v>559</v>
      </c>
      <c r="B879" s="604">
        <v>0</v>
      </c>
      <c r="C879" s="397"/>
      <c r="D879" s="516"/>
      <c r="E879" s="305"/>
      <c r="F879" s="299"/>
      <c r="G879" s="309">
        <f>+IF(A889="UFH",(G875*0.71/85),((+IF(D893="dp+type21",14.5)+IF(D893="SC_type11",7.3)+IF(D893="SC",7)+IF(D893="DC_type22",14.5))*(A893*B893))/1000000)</f>
        <v>4.38</v>
      </c>
      <c r="H879" s="298" t="s">
        <v>244</v>
      </c>
    </row>
    <row r="880" spans="1:8" ht="14.25" customHeight="1">
      <c r="A880" s="290" t="s">
        <v>558</v>
      </c>
      <c r="B880" s="604" t="s">
        <v>1064</v>
      </c>
      <c r="C880" s="269"/>
      <c r="D880" s="464">
        <f>VLOOKUP(B880,$I$81:$J$100,2,FALSE)</f>
        <v>0.2</v>
      </c>
      <c r="E880" s="311">
        <f>((B878-B879)*(D880+0.15)*(B872-'Data Entry Sheet'!D896))+(B879*(B872-'Data Entry Sheet'!$D$32)*2.8)</f>
        <v>0</v>
      </c>
      <c r="F880" s="299" t="s">
        <v>10</v>
      </c>
      <c r="G880" s="516"/>
      <c r="H880" s="298"/>
    </row>
    <row r="881" spans="1:8" ht="14.25" customHeight="1">
      <c r="A881" s="290" t="s">
        <v>557</v>
      </c>
      <c r="B881" s="604">
        <v>0</v>
      </c>
      <c r="C881" s="397"/>
      <c r="D881" s="305"/>
      <c r="E881" s="305"/>
      <c r="F881" s="300"/>
      <c r="G881" s="516"/>
      <c r="H881" s="298"/>
    </row>
    <row r="882" spans="1:8" ht="14.25" customHeight="1">
      <c r="A882" s="290" t="s">
        <v>556</v>
      </c>
      <c r="B882" s="604" t="s">
        <v>1064</v>
      </c>
      <c r="C882" s="269"/>
      <c r="D882" s="464">
        <f>VLOOKUP(B882,$I$54:$J$75,2,FALSE)</f>
        <v>1</v>
      </c>
      <c r="E882" s="311">
        <f>B881*(D882+0.15)*(B872-( IF(B882="suspended wood ",'Data Entry Sheet'!$D$32,'Data Entry Sheet'!$D$33)))</f>
        <v>0</v>
      </c>
      <c r="F882" s="299" t="s">
        <v>10</v>
      </c>
      <c r="G882" s="516"/>
      <c r="H882" s="298"/>
    </row>
    <row r="883" spans="1:8" ht="14.25" customHeight="1">
      <c r="A883" s="290"/>
      <c r="B883" s="289"/>
      <c r="C883" s="516"/>
      <c r="D883" s="307"/>
      <c r="E883" s="307"/>
      <c r="F883" s="299"/>
      <c r="G883" s="516"/>
      <c r="H883" s="298"/>
    </row>
    <row r="884" spans="1:8" ht="14.25" customHeight="1">
      <c r="A884" s="291" t="s">
        <v>555</v>
      </c>
      <c r="B884" s="604" t="s">
        <v>972</v>
      </c>
      <c r="C884" s="269"/>
      <c r="D884" s="464">
        <f>VLOOKUP(B884,$I$113:J987,2,FALSE)</f>
        <v>1.5</v>
      </c>
      <c r="E884" s="311">
        <f>(B872-'Data Entry Sheet'!$D$32)*0.33*(B881*B873)*D884</f>
        <v>0</v>
      </c>
      <c r="F884" s="299" t="s">
        <v>10</v>
      </c>
      <c r="G884" s="516"/>
      <c r="H884" s="298"/>
    </row>
    <row r="885" spans="1:8" ht="14.25" customHeight="1">
      <c r="A885" s="268"/>
      <c r="B885" s="289"/>
      <c r="C885" s="289"/>
      <c r="D885" s="289"/>
      <c r="E885" s="289"/>
      <c r="F885" s="301"/>
      <c r="G885" s="421"/>
      <c r="H885" s="264"/>
    </row>
    <row r="886" spans="1:8" ht="14.25" customHeight="1">
      <c r="A886" s="718" t="s">
        <v>554</v>
      </c>
      <c r="B886" s="289"/>
      <c r="C886" s="289"/>
      <c r="D886" s="289"/>
      <c r="E886" s="289"/>
      <c r="F886" s="289"/>
      <c r="G886" s="299"/>
      <c r="H886" s="302"/>
    </row>
    <row r="887" spans="1:8" ht="14.25" customHeight="1">
      <c r="A887" s="718"/>
      <c r="C887" s="289"/>
      <c r="D887" s="289"/>
      <c r="E887" s="421"/>
      <c r="F887" s="421"/>
      <c r="G887" s="421"/>
      <c r="H887" s="298"/>
    </row>
    <row r="888" spans="1:8" ht="14.25" customHeight="1">
      <c r="A888" s="551" t="s">
        <v>751</v>
      </c>
      <c r="B888" s="469" t="s">
        <v>993</v>
      </c>
      <c r="C888" s="289"/>
      <c r="D888" s="269" t="s">
        <v>1062</v>
      </c>
      <c r="E888" s="289"/>
      <c r="F888" s="289"/>
      <c r="G888" s="421"/>
      <c r="H888" s="298"/>
    </row>
    <row r="889" spans="1:8" ht="14.25" customHeight="1">
      <c r="A889" s="133" t="s">
        <v>1081</v>
      </c>
      <c r="B889" s="133" t="s">
        <v>460</v>
      </c>
      <c r="C889" s="289"/>
      <c r="D889" s="133" t="s">
        <v>1063</v>
      </c>
      <c r="F889" s="312">
        <f>+IF(A889="UFH",G875/344)+IF(A889="radiators",0)</f>
        <v>0</v>
      </c>
      <c r="G889" s="289" t="s">
        <v>527</v>
      </c>
      <c r="H889" s="298"/>
    </row>
    <row r="890" spans="1:8" ht="14.25" customHeight="1">
      <c r="C890" s="289"/>
      <c r="D890" s="289"/>
      <c r="E890" s="289"/>
      <c r="F890" s="289"/>
      <c r="G890" s="421"/>
      <c r="H890" s="298"/>
    </row>
    <row r="891" spans="1:8" ht="14.25" customHeight="1">
      <c r="A891" s="268"/>
      <c r="B891" s="289"/>
      <c r="C891" s="289"/>
      <c r="D891" s="289"/>
      <c r="E891" s="289"/>
      <c r="F891" s="301"/>
      <c r="G891" s="722" t="s">
        <v>553</v>
      </c>
      <c r="H891" s="264"/>
    </row>
    <row r="892" spans="1:8" ht="14.25" customHeight="1">
      <c r="A892" s="468" t="s">
        <v>245</v>
      </c>
      <c r="B892" s="469" t="s">
        <v>126</v>
      </c>
      <c r="C892" s="289"/>
      <c r="D892" s="469" t="s">
        <v>14</v>
      </c>
      <c r="E892" s="469" t="s">
        <v>246</v>
      </c>
      <c r="F892" s="469" t="s">
        <v>15</v>
      </c>
      <c r="G892" s="723"/>
      <c r="H892" s="298"/>
    </row>
    <row r="893" spans="1:8" ht="14.25" customHeight="1">
      <c r="A893" s="23">
        <v>600</v>
      </c>
      <c r="B893" s="11">
        <v>1000</v>
      </c>
      <c r="C893" s="289"/>
      <c r="D893" s="11" t="s">
        <v>832</v>
      </c>
      <c r="E893" s="312">
        <f>A893*B893*1.05*(+IF(D893="SC_type11",0.000764)+IF(D893="DC_type22",0.001421)+IF(D893="DP+type21",0.001121))*('Data Entry Sheet'!$I$28/(B872+30))</f>
        <v>471.88235294117646</v>
      </c>
      <c r="F893" s="428" t="e">
        <f>+IF(A889="Radiators",((E893/G875)-1),"UFH")</f>
        <v>#DIV/0!</v>
      </c>
      <c r="G893" s="309" t="e">
        <f>IF(A889="Radiators",(((-1*F893)*(B872-'Data Entry Sheet'!$D$32))+'Data Entry Sheet'!$D$32),-10)</f>
        <v>#DIV/0!</v>
      </c>
      <c r="H893" s="303" t="s">
        <v>53</v>
      </c>
    </row>
    <row r="894" spans="1:8" ht="14.25" customHeight="1">
      <c r="A894" s="273"/>
      <c r="C894" s="289"/>
      <c r="D894" s="289"/>
      <c r="E894" s="289"/>
      <c r="F894" s="439" t="s">
        <v>199</v>
      </c>
      <c r="G894" s="440" t="e">
        <f>B872-#REF!</f>
        <v>#REF!</v>
      </c>
      <c r="H894" s="298"/>
    </row>
    <row r="895" spans="1:8" ht="14.25" customHeight="1">
      <c r="A895" s="273" t="s">
        <v>552</v>
      </c>
      <c r="B895" s="289"/>
      <c r="C895" s="289"/>
      <c r="D895" s="289"/>
      <c r="E895" s="289"/>
      <c r="F895" s="289"/>
      <c r="G895" s="309">
        <f>'Data Entry Sheet'!$I$29*G875</f>
        <v>0</v>
      </c>
      <c r="H895" s="298" t="s">
        <v>10</v>
      </c>
    </row>
    <row r="896" spans="1:8" ht="14.25" customHeight="1">
      <c r="A896" s="273" t="s">
        <v>551</v>
      </c>
      <c r="B896" s="289"/>
      <c r="C896" s="289"/>
      <c r="D896" s="308"/>
      <c r="E896" s="289"/>
      <c r="F896" s="289"/>
      <c r="G896" s="422"/>
      <c r="H896" s="298"/>
    </row>
    <row r="897" spans="1:8" ht="14.25" customHeight="1">
      <c r="A897" s="273"/>
      <c r="B897" s="289"/>
      <c r="C897" s="289"/>
      <c r="D897" s="308"/>
      <c r="E897" s="289"/>
      <c r="F897" s="289"/>
      <c r="G897" s="422"/>
      <c r="H897" s="298"/>
    </row>
    <row r="898" spans="1:8" ht="14.25" customHeight="1">
      <c r="A898" s="468" t="s">
        <v>550</v>
      </c>
      <c r="B898" s="469" t="s">
        <v>549</v>
      </c>
      <c r="C898" s="469"/>
      <c r="D898" s="469" t="s">
        <v>14</v>
      </c>
      <c r="E898" s="469"/>
      <c r="F898" s="469"/>
      <c r="G898" s="470"/>
      <c r="H898" s="471"/>
    </row>
    <row r="899" spans="1:8" ht="14.25" customHeight="1">
      <c r="A899" s="315">
        <f>A893</f>
        <v>600</v>
      </c>
      <c r="B899" s="316">
        <f>G875/(A893*0.001421)*(30/('Data Entry Sheet'!$I$28-B872))</f>
        <v>0</v>
      </c>
      <c r="C899" s="289"/>
      <c r="D899" s="316" t="s">
        <v>548</v>
      </c>
      <c r="E899" s="289"/>
      <c r="F899" s="289"/>
      <c r="G899" s="470"/>
      <c r="H899" s="471"/>
    </row>
    <row r="900" spans="1:8" ht="14.25" customHeight="1" thickBot="1">
      <c r="A900" s="472"/>
      <c r="B900" s="306"/>
      <c r="C900" s="306"/>
      <c r="D900" s="306"/>
      <c r="E900" s="306"/>
      <c r="F900" s="306"/>
      <c r="G900" s="423"/>
      <c r="H900" s="304"/>
    </row>
    <row r="901" spans="1:8" ht="14.25" customHeight="1" thickBot="1"/>
    <row r="902" spans="1:8" ht="14.25" customHeight="1">
      <c r="A902" s="719" t="s">
        <v>70</v>
      </c>
      <c r="B902" s="292"/>
      <c r="C902" s="293"/>
      <c r="D902" s="293"/>
      <c r="E902" s="293"/>
      <c r="F902" s="294"/>
      <c r="G902" s="419"/>
      <c r="H902" s="295"/>
    </row>
    <row r="903" spans="1:8" ht="14.25" customHeight="1">
      <c r="A903" s="720"/>
      <c r="B903" s="13" t="s">
        <v>1029</v>
      </c>
      <c r="C903" s="269"/>
      <c r="D903" s="299"/>
      <c r="E903" s="269"/>
      <c r="F903" s="269"/>
      <c r="G903" s="516"/>
      <c r="H903" s="264"/>
    </row>
    <row r="904" spans="1:8" ht="14.25" customHeight="1">
      <c r="A904" s="273" t="s">
        <v>568</v>
      </c>
      <c r="B904" s="14">
        <v>21</v>
      </c>
      <c r="C904" s="397"/>
      <c r="D904" s="516" t="s">
        <v>567</v>
      </c>
      <c r="E904" s="516" t="s">
        <v>9</v>
      </c>
      <c r="F904" s="296"/>
      <c r="G904" s="297" t="s">
        <v>566</v>
      </c>
      <c r="H904" s="298"/>
    </row>
    <row r="905" spans="1:8" ht="14.25" customHeight="1">
      <c r="A905" s="273" t="s">
        <v>565</v>
      </c>
      <c r="B905" s="14">
        <v>2.4</v>
      </c>
      <c r="C905" s="397"/>
      <c r="D905" s="269"/>
      <c r="E905" s="516"/>
      <c r="F905" s="296"/>
      <c r="G905" s="516"/>
      <c r="H905" s="298"/>
    </row>
    <row r="906" spans="1:8" ht="14.25" customHeight="1">
      <c r="A906" s="273" t="s">
        <v>564</v>
      </c>
      <c r="B906" s="15">
        <v>0</v>
      </c>
      <c r="C906" s="397"/>
      <c r="D906" s="269"/>
      <c r="E906" s="269"/>
      <c r="F906" s="296"/>
      <c r="G906" s="516"/>
      <c r="H906" s="298"/>
    </row>
    <row r="907" spans="1:8" ht="14.25" customHeight="1">
      <c r="A907" s="272" t="s">
        <v>563</v>
      </c>
      <c r="B907" s="604" t="s">
        <v>1064</v>
      </c>
      <c r="C907" s="269"/>
      <c r="D907" s="464">
        <f>VLOOKUP(B907,$I$23:$J$49,2,FALSE)</f>
        <v>2.11</v>
      </c>
      <c r="E907" s="311">
        <f>(((B905)*B906)-B908)*(D907+0.15)*(B904-'Data Entry Sheet'!$D$32)</f>
        <v>0</v>
      </c>
      <c r="F907" s="299" t="s">
        <v>10</v>
      </c>
      <c r="G907" s="309">
        <f>SUM(E907:E916)*((B905+81)/83.6)</f>
        <v>0</v>
      </c>
      <c r="H907" s="264"/>
    </row>
    <row r="908" spans="1:8" ht="14.25" customHeight="1" thickBot="1">
      <c r="A908" s="290" t="s">
        <v>562</v>
      </c>
      <c r="B908" s="15">
        <v>0</v>
      </c>
      <c r="C908" s="269"/>
      <c r="D908" s="397"/>
      <c r="E908" s="289"/>
      <c r="F908" s="299"/>
      <c r="G908" s="297" t="s">
        <v>243</v>
      </c>
      <c r="H908" s="298"/>
    </row>
    <row r="909" spans="1:8" ht="14.25" customHeight="1" thickBot="1">
      <c r="A909" s="290" t="s">
        <v>561</v>
      </c>
      <c r="B909" s="604" t="s">
        <v>1064</v>
      </c>
      <c r="C909" s="269"/>
      <c r="D909" s="464">
        <f>VLOOKUP(B909,$I$4:$J$16,2,FALSE)</f>
        <v>2.8</v>
      </c>
      <c r="E909" s="311">
        <f>B908*(D909+0.15)*(B904-'Data Entry Sheet'!$D$32)</f>
        <v>0</v>
      </c>
      <c r="F909" s="299" t="s">
        <v>10</v>
      </c>
      <c r="G909" s="420" t="e">
        <f>G907/B913</f>
        <v>#DIV/0!</v>
      </c>
      <c r="H909" s="264"/>
    </row>
    <row r="910" spans="1:8" ht="14.25" customHeight="1">
      <c r="A910" s="290" t="s">
        <v>560</v>
      </c>
      <c r="B910" s="604">
        <v>0</v>
      </c>
      <c r="C910" s="397"/>
      <c r="D910" s="516"/>
      <c r="E910" s="305"/>
      <c r="F910" s="299"/>
      <c r="G910" s="470" t="s">
        <v>127</v>
      </c>
      <c r="H910" s="298"/>
    </row>
    <row r="911" spans="1:8" ht="14.25" customHeight="1">
      <c r="A911" s="290" t="s">
        <v>559</v>
      </c>
      <c r="B911" s="604">
        <v>0</v>
      </c>
      <c r="C911" s="397"/>
      <c r="D911" s="516"/>
      <c r="E911" s="305"/>
      <c r="F911" s="299"/>
      <c r="G911" s="309">
        <f>+IF(A921="UFH",(G907*0.71/85),((+IF(D925="dp+type21",14.5)+IF(D925="SC_type11",7.3)+IF(D925="SC",7)+IF(D925="DC_type22",14.5))*(A925*B925))/1000000)</f>
        <v>4.38</v>
      </c>
      <c r="H911" s="298" t="s">
        <v>244</v>
      </c>
    </row>
    <row r="912" spans="1:8" ht="14.25" customHeight="1">
      <c r="A912" s="290" t="s">
        <v>558</v>
      </c>
      <c r="B912" s="604" t="s">
        <v>1064</v>
      </c>
      <c r="C912" s="269"/>
      <c r="D912" s="464">
        <f>VLOOKUP(B912,$I$81:$J$100,2,FALSE)</f>
        <v>0.2</v>
      </c>
      <c r="E912" s="311">
        <f>((B910-B911)*(D912+0.15)*(B904-'Data Entry Sheet'!D928))+(B911*(B904-'Data Entry Sheet'!$D$32)*2.8)</f>
        <v>0</v>
      </c>
      <c r="F912" s="299" t="s">
        <v>10</v>
      </c>
      <c r="G912" s="516"/>
      <c r="H912" s="298"/>
    </row>
    <row r="913" spans="1:8" ht="14.25" customHeight="1">
      <c r="A913" s="290" t="s">
        <v>557</v>
      </c>
      <c r="B913" s="604">
        <v>0</v>
      </c>
      <c r="C913" s="397"/>
      <c r="D913" s="305"/>
      <c r="E913" s="305"/>
      <c r="F913" s="300"/>
      <c r="G913" s="516"/>
      <c r="H913" s="298"/>
    </row>
    <row r="914" spans="1:8" ht="14.25" customHeight="1">
      <c r="A914" s="290" t="s">
        <v>556</v>
      </c>
      <c r="B914" s="604" t="s">
        <v>1064</v>
      </c>
      <c r="C914" s="269"/>
      <c r="D914" s="464">
        <f>VLOOKUP(B914,$I$54:$J$75,2,FALSE)</f>
        <v>1</v>
      </c>
      <c r="E914" s="311">
        <f>B913*(D914+0.15)*(B904-( IF(B914="suspended wood ",'Data Entry Sheet'!$D$32,'Data Entry Sheet'!$D$33)))</f>
        <v>0</v>
      </c>
      <c r="F914" s="299" t="s">
        <v>10</v>
      </c>
      <c r="G914" s="516"/>
      <c r="H914" s="298"/>
    </row>
    <row r="915" spans="1:8" ht="14.25" customHeight="1">
      <c r="A915" s="290"/>
      <c r="B915" s="289"/>
      <c r="C915" s="516"/>
      <c r="D915" s="307"/>
      <c r="E915" s="307"/>
      <c r="F915" s="299"/>
      <c r="G915" s="516"/>
      <c r="H915" s="298"/>
    </row>
    <row r="916" spans="1:8" ht="14.25" customHeight="1">
      <c r="A916" s="291" t="s">
        <v>555</v>
      </c>
      <c r="B916" s="604" t="s">
        <v>972</v>
      </c>
      <c r="C916" s="269"/>
      <c r="D916" s="464">
        <f>VLOOKUP(B916,$I$113:J1019,2,FALSE)</f>
        <v>1.5</v>
      </c>
      <c r="E916" s="311">
        <f>(B904-'Data Entry Sheet'!$D$32)*0.33*(B913*B905)*D916</f>
        <v>0</v>
      </c>
      <c r="F916" s="299" t="s">
        <v>10</v>
      </c>
      <c r="G916" s="516"/>
      <c r="H916" s="298"/>
    </row>
    <row r="917" spans="1:8" ht="14.25" customHeight="1">
      <c r="A917" s="268"/>
      <c r="B917" s="289"/>
      <c r="C917" s="289"/>
      <c r="D917" s="289"/>
      <c r="E917" s="289"/>
      <c r="F917" s="301"/>
      <c r="G917" s="421"/>
      <c r="H917" s="264"/>
    </row>
    <row r="918" spans="1:8" ht="14.25" customHeight="1">
      <c r="A918" s="718" t="s">
        <v>554</v>
      </c>
      <c r="B918" s="289"/>
      <c r="C918" s="289"/>
      <c r="D918" s="289"/>
      <c r="E918" s="289"/>
      <c r="F918" s="289"/>
      <c r="G918" s="299"/>
      <c r="H918" s="302"/>
    </row>
    <row r="919" spans="1:8" ht="14.25" customHeight="1">
      <c r="A919" s="718"/>
      <c r="C919" s="289"/>
      <c r="D919" s="289"/>
      <c r="E919" s="421"/>
      <c r="F919" s="421"/>
      <c r="G919" s="421"/>
      <c r="H919" s="298"/>
    </row>
    <row r="920" spans="1:8" ht="14.25" customHeight="1">
      <c r="A920" s="551" t="s">
        <v>751</v>
      </c>
      <c r="B920" s="469" t="s">
        <v>993</v>
      </c>
      <c r="C920" s="289"/>
      <c r="D920" s="269" t="s">
        <v>1062</v>
      </c>
      <c r="E920" s="289"/>
      <c r="F920" s="289"/>
      <c r="G920" s="421"/>
      <c r="H920" s="298"/>
    </row>
    <row r="921" spans="1:8" ht="14.25" customHeight="1">
      <c r="A921" s="133" t="s">
        <v>1081</v>
      </c>
      <c r="B921" s="133" t="s">
        <v>460</v>
      </c>
      <c r="C921" s="289"/>
      <c r="D921" s="133" t="s">
        <v>1063</v>
      </c>
      <c r="F921" s="312">
        <f>+IF(A921="UFH",G907/344)+IF(A921="radiators",0)</f>
        <v>0</v>
      </c>
      <c r="G921" s="289" t="s">
        <v>527</v>
      </c>
      <c r="H921" s="298"/>
    </row>
    <row r="922" spans="1:8" ht="14.25" customHeight="1">
      <c r="C922" s="289"/>
      <c r="D922" s="289"/>
      <c r="E922" s="289"/>
      <c r="F922" s="289"/>
      <c r="G922" s="421"/>
      <c r="H922" s="298"/>
    </row>
    <row r="923" spans="1:8" ht="14.25" customHeight="1">
      <c r="A923" s="268"/>
      <c r="B923" s="289"/>
      <c r="C923" s="289"/>
      <c r="D923" s="289"/>
      <c r="E923" s="289"/>
      <c r="F923" s="301"/>
      <c r="G923" s="722" t="s">
        <v>553</v>
      </c>
      <c r="H923" s="264"/>
    </row>
    <row r="924" spans="1:8" ht="14.25" customHeight="1">
      <c r="A924" s="468" t="s">
        <v>245</v>
      </c>
      <c r="B924" s="469" t="s">
        <v>126</v>
      </c>
      <c r="C924" s="289"/>
      <c r="D924" s="469" t="s">
        <v>14</v>
      </c>
      <c r="E924" s="469" t="s">
        <v>246</v>
      </c>
      <c r="F924" s="469" t="s">
        <v>15</v>
      </c>
      <c r="G924" s="723"/>
      <c r="H924" s="298"/>
    </row>
    <row r="925" spans="1:8" ht="14.25" customHeight="1">
      <c r="A925" s="23">
        <v>600</v>
      </c>
      <c r="B925" s="11">
        <v>1000</v>
      </c>
      <c r="C925" s="289"/>
      <c r="D925" s="11" t="s">
        <v>832</v>
      </c>
      <c r="E925" s="312">
        <f>A925*B925*1.05*(+IF(D925="SC_type11",0.000764)+IF(D925="DC_type22",0.001421)+IF(D925="DP+type21",0.001121))*('Data Entry Sheet'!$I$28/(B904+30))</f>
        <v>471.88235294117646</v>
      </c>
      <c r="F925" s="428" t="e">
        <f>+IF(A921="Radiators",((E925/G907)-1),"UFH")</f>
        <v>#DIV/0!</v>
      </c>
      <c r="G925" s="309" t="e">
        <f>IF(A921="Radiators",(((-1*F925)*(B904-'Data Entry Sheet'!$D$32))+'Data Entry Sheet'!$D$32),-10)</f>
        <v>#DIV/0!</v>
      </c>
      <c r="H925" s="303" t="s">
        <v>53</v>
      </c>
    </row>
    <row r="926" spans="1:8" ht="14.25" customHeight="1">
      <c r="A926" s="273"/>
      <c r="C926" s="289"/>
      <c r="D926" s="289"/>
      <c r="E926" s="289"/>
      <c r="F926" s="439" t="s">
        <v>199</v>
      </c>
      <c r="G926" s="440" t="e">
        <f>B904-#REF!</f>
        <v>#REF!</v>
      </c>
      <c r="H926" s="298"/>
    </row>
    <row r="927" spans="1:8" ht="14.25" customHeight="1">
      <c r="A927" s="273" t="s">
        <v>552</v>
      </c>
      <c r="B927" s="289"/>
      <c r="C927" s="289"/>
      <c r="D927" s="289"/>
      <c r="E927" s="289"/>
      <c r="F927" s="289"/>
      <c r="G927" s="309">
        <f>'Data Entry Sheet'!$I$29*G907</f>
        <v>0</v>
      </c>
      <c r="H927" s="298" t="s">
        <v>10</v>
      </c>
    </row>
    <row r="928" spans="1:8" ht="14.25" customHeight="1">
      <c r="A928" s="273" t="s">
        <v>551</v>
      </c>
      <c r="B928" s="289"/>
      <c r="C928" s="289"/>
      <c r="D928" s="308"/>
      <c r="E928" s="289"/>
      <c r="F928" s="289"/>
      <c r="G928" s="422"/>
      <c r="H928" s="298"/>
    </row>
    <row r="929" spans="1:8" ht="14.25" customHeight="1">
      <c r="A929" s="273"/>
      <c r="B929" s="289"/>
      <c r="C929" s="289"/>
      <c r="D929" s="308"/>
      <c r="E929" s="289"/>
      <c r="F929" s="289"/>
      <c r="G929" s="422"/>
      <c r="H929" s="298"/>
    </row>
    <row r="930" spans="1:8" ht="14.25" customHeight="1">
      <c r="A930" s="468" t="s">
        <v>550</v>
      </c>
      <c r="B930" s="469" t="s">
        <v>549</v>
      </c>
      <c r="C930" s="469"/>
      <c r="D930" s="469" t="s">
        <v>14</v>
      </c>
      <c r="E930" s="469"/>
      <c r="F930" s="469"/>
      <c r="G930" s="470"/>
      <c r="H930" s="471"/>
    </row>
    <row r="931" spans="1:8" ht="14.25" customHeight="1">
      <c r="A931" s="315">
        <f>A925</f>
        <v>600</v>
      </c>
      <c r="B931" s="316">
        <f>G907/(A925*0.001421)*(30/('Data Entry Sheet'!$I$28-B904))</f>
        <v>0</v>
      </c>
      <c r="C931" s="289"/>
      <c r="D931" s="316" t="s">
        <v>548</v>
      </c>
      <c r="E931" s="289"/>
      <c r="F931" s="289"/>
      <c r="G931" s="470"/>
      <c r="H931" s="471"/>
    </row>
    <row r="932" spans="1:8" ht="14.25" customHeight="1" thickBot="1">
      <c r="A932" s="472"/>
      <c r="B932" s="306"/>
      <c r="C932" s="306"/>
      <c r="D932" s="306"/>
      <c r="E932" s="306"/>
      <c r="F932" s="306"/>
      <c r="G932" s="423"/>
      <c r="H932" s="304"/>
    </row>
    <row r="933" spans="1:8" ht="14.25" customHeight="1" thickBot="1"/>
    <row r="934" spans="1:8" ht="14.25" customHeight="1">
      <c r="A934" s="719" t="s">
        <v>70</v>
      </c>
      <c r="B934" s="292"/>
      <c r="C934" s="293"/>
      <c r="D934" s="293"/>
      <c r="E934" s="293"/>
      <c r="F934" s="294"/>
      <c r="G934" s="419"/>
      <c r="H934" s="295"/>
    </row>
    <row r="935" spans="1:8" ht="14.25" customHeight="1">
      <c r="A935" s="720"/>
      <c r="B935" s="13" t="s">
        <v>1030</v>
      </c>
      <c r="C935" s="269"/>
      <c r="D935" s="299"/>
      <c r="E935" s="269"/>
      <c r="F935" s="269"/>
      <c r="G935" s="516"/>
      <c r="H935" s="264"/>
    </row>
    <row r="936" spans="1:8" ht="14.25" customHeight="1">
      <c r="A936" s="273" t="s">
        <v>568</v>
      </c>
      <c r="B936" s="14">
        <v>21</v>
      </c>
      <c r="C936" s="397"/>
      <c r="D936" s="516" t="s">
        <v>567</v>
      </c>
      <c r="E936" s="516" t="s">
        <v>9</v>
      </c>
      <c r="F936" s="296"/>
      <c r="G936" s="297" t="s">
        <v>566</v>
      </c>
      <c r="H936" s="298"/>
    </row>
    <row r="937" spans="1:8" ht="14.25" customHeight="1">
      <c r="A937" s="273" t="s">
        <v>565</v>
      </c>
      <c r="B937" s="14">
        <v>2.4</v>
      </c>
      <c r="C937" s="397"/>
      <c r="D937" s="269"/>
      <c r="E937" s="516"/>
      <c r="F937" s="296"/>
      <c r="G937" s="516"/>
      <c r="H937" s="298"/>
    </row>
    <row r="938" spans="1:8" ht="14.25" customHeight="1">
      <c r="A938" s="273" t="s">
        <v>564</v>
      </c>
      <c r="B938" s="15">
        <v>0</v>
      </c>
      <c r="C938" s="397"/>
      <c r="D938" s="269"/>
      <c r="E938" s="269"/>
      <c r="F938" s="296"/>
      <c r="G938" s="516"/>
      <c r="H938" s="298"/>
    </row>
    <row r="939" spans="1:8" ht="14.25" customHeight="1">
      <c r="A939" s="272" t="s">
        <v>563</v>
      </c>
      <c r="B939" s="604" t="s">
        <v>1064</v>
      </c>
      <c r="C939" s="269"/>
      <c r="D939" s="464">
        <f>VLOOKUP(B939,$I$23:$J$49,2,FALSE)</f>
        <v>2.11</v>
      </c>
      <c r="E939" s="311">
        <f>(((B937)*B938)-B940)*(D939+0.15)*(B936-'Data Entry Sheet'!$D$32)</f>
        <v>0</v>
      </c>
      <c r="F939" s="299" t="s">
        <v>10</v>
      </c>
      <c r="G939" s="309">
        <f>SUM(E939:E948)*((B937+81)/83.6)</f>
        <v>0</v>
      </c>
      <c r="H939" s="264"/>
    </row>
    <row r="940" spans="1:8" ht="14.25" customHeight="1" thickBot="1">
      <c r="A940" s="290" t="s">
        <v>562</v>
      </c>
      <c r="B940" s="15">
        <v>0</v>
      </c>
      <c r="C940" s="269"/>
      <c r="D940" s="397"/>
      <c r="E940" s="289"/>
      <c r="F940" s="299"/>
      <c r="G940" s="297" t="s">
        <v>243</v>
      </c>
      <c r="H940" s="298"/>
    </row>
    <row r="941" spans="1:8" ht="14.25" customHeight="1" thickBot="1">
      <c r="A941" s="290" t="s">
        <v>561</v>
      </c>
      <c r="B941" s="604" t="s">
        <v>1064</v>
      </c>
      <c r="C941" s="269"/>
      <c r="D941" s="464">
        <f>VLOOKUP(B941,$I$4:$J$16,2,FALSE)</f>
        <v>2.8</v>
      </c>
      <c r="E941" s="311">
        <f>B940*(D941+0.15)*(B936-'Data Entry Sheet'!$D$32)</f>
        <v>0</v>
      </c>
      <c r="F941" s="299" t="s">
        <v>10</v>
      </c>
      <c r="G941" s="420" t="e">
        <f>G939/B945</f>
        <v>#DIV/0!</v>
      </c>
      <c r="H941" s="264"/>
    </row>
    <row r="942" spans="1:8" ht="14.25" customHeight="1">
      <c r="A942" s="290" t="s">
        <v>560</v>
      </c>
      <c r="B942" s="604">
        <v>0</v>
      </c>
      <c r="C942" s="397"/>
      <c r="D942" s="516"/>
      <c r="E942" s="305"/>
      <c r="F942" s="299"/>
      <c r="G942" s="470" t="s">
        <v>127</v>
      </c>
      <c r="H942" s="298"/>
    </row>
    <row r="943" spans="1:8" ht="14.25" customHeight="1">
      <c r="A943" s="290" t="s">
        <v>559</v>
      </c>
      <c r="B943" s="604">
        <v>0</v>
      </c>
      <c r="C943" s="397"/>
      <c r="D943" s="516"/>
      <c r="E943" s="305"/>
      <c r="F943" s="299"/>
      <c r="G943" s="309">
        <f>+IF(A953="UFH",(G939*0.71/85),((+IF(D957="dp+type21",14.5)+IF(D957="SC_type11",7.3)+IF(D957="SC",7)+IF(D957="DC_type22",14.5))*(A957*B957))/1000000)</f>
        <v>4.38</v>
      </c>
      <c r="H943" s="298" t="s">
        <v>244</v>
      </c>
    </row>
    <row r="944" spans="1:8" ht="14.25" customHeight="1">
      <c r="A944" s="290" t="s">
        <v>558</v>
      </c>
      <c r="B944" s="604" t="s">
        <v>1064</v>
      </c>
      <c r="C944" s="269"/>
      <c r="D944" s="464">
        <f>VLOOKUP(B944,$I$81:$J$100,2,FALSE)</f>
        <v>0.2</v>
      </c>
      <c r="E944" s="311">
        <f>((B942-B943)*(D944+0.15)*(B936-'Data Entry Sheet'!D960))+(B943*(B936-'Data Entry Sheet'!$D$32)*2.8)</f>
        <v>0</v>
      </c>
      <c r="F944" s="299" t="s">
        <v>10</v>
      </c>
      <c r="G944" s="516"/>
      <c r="H944" s="298"/>
    </row>
    <row r="945" spans="1:8" ht="14.25" customHeight="1">
      <c r="A945" s="290" t="s">
        <v>557</v>
      </c>
      <c r="B945" s="604">
        <v>0</v>
      </c>
      <c r="C945" s="397"/>
      <c r="D945" s="305"/>
      <c r="E945" s="305"/>
      <c r="F945" s="300"/>
      <c r="G945" s="516"/>
      <c r="H945" s="298"/>
    </row>
    <row r="946" spans="1:8" ht="14.25" customHeight="1">
      <c r="A946" s="290" t="s">
        <v>556</v>
      </c>
      <c r="B946" s="604" t="s">
        <v>1064</v>
      </c>
      <c r="C946" s="269"/>
      <c r="D946" s="464">
        <f>VLOOKUP(B946,$I$54:$J$75,2,FALSE)</f>
        <v>1</v>
      </c>
      <c r="E946" s="311">
        <f>B945*(D946+0.15)*(B936-( IF(B946="suspended wood ",'Data Entry Sheet'!$D$32,'Data Entry Sheet'!$D$33)))</f>
        <v>0</v>
      </c>
      <c r="F946" s="299" t="s">
        <v>10</v>
      </c>
      <c r="G946" s="516"/>
      <c r="H946" s="298"/>
    </row>
    <row r="947" spans="1:8" ht="14.25" customHeight="1">
      <c r="A947" s="290"/>
      <c r="B947" s="289"/>
      <c r="C947" s="516"/>
      <c r="D947" s="307"/>
      <c r="E947" s="307"/>
      <c r="F947" s="299"/>
      <c r="G947" s="516"/>
      <c r="H947" s="298"/>
    </row>
    <row r="948" spans="1:8" ht="14.25" customHeight="1">
      <c r="A948" s="291" t="s">
        <v>555</v>
      </c>
      <c r="B948" s="604" t="s">
        <v>972</v>
      </c>
      <c r="C948" s="269"/>
      <c r="D948" s="464">
        <f>VLOOKUP(B948,$I$113:J1051,2,FALSE)</f>
        <v>1.5</v>
      </c>
      <c r="E948" s="311">
        <f>(B936-'Data Entry Sheet'!$D$32)*0.33*(B945*B937)*D948</f>
        <v>0</v>
      </c>
      <c r="F948" s="299" t="s">
        <v>10</v>
      </c>
      <c r="G948" s="516"/>
      <c r="H948" s="298"/>
    </row>
    <row r="949" spans="1:8" ht="14.25" customHeight="1">
      <c r="A949" s="268"/>
      <c r="B949" s="289"/>
      <c r="C949" s="289"/>
      <c r="D949" s="289"/>
      <c r="E949" s="289"/>
      <c r="F949" s="301"/>
      <c r="G949" s="421"/>
      <c r="H949" s="264"/>
    </row>
    <row r="950" spans="1:8" ht="14.25" customHeight="1">
      <c r="A950" s="718" t="s">
        <v>554</v>
      </c>
      <c r="B950" s="289"/>
      <c r="C950" s="289"/>
      <c r="D950" s="289"/>
      <c r="E950" s="289"/>
      <c r="F950" s="289"/>
      <c r="G950" s="299"/>
      <c r="H950" s="302"/>
    </row>
    <row r="951" spans="1:8" ht="14.25" customHeight="1">
      <c r="A951" s="718"/>
      <c r="C951" s="289"/>
      <c r="D951" s="289"/>
      <c r="E951" s="421"/>
      <c r="F951" s="421"/>
      <c r="G951" s="421"/>
      <c r="H951" s="298"/>
    </row>
    <row r="952" spans="1:8" ht="14.25" customHeight="1">
      <c r="A952" s="551" t="s">
        <v>751</v>
      </c>
      <c r="B952" s="469" t="s">
        <v>993</v>
      </c>
      <c r="C952" s="289"/>
      <c r="D952" s="269" t="s">
        <v>1062</v>
      </c>
      <c r="E952" s="289"/>
      <c r="F952" s="289"/>
      <c r="G952" s="421"/>
      <c r="H952" s="298"/>
    </row>
    <row r="953" spans="1:8" ht="14.25" customHeight="1">
      <c r="A953" s="133" t="s">
        <v>1081</v>
      </c>
      <c r="B953" s="133" t="s">
        <v>460</v>
      </c>
      <c r="C953" s="289"/>
      <c r="D953" s="133" t="s">
        <v>1063</v>
      </c>
      <c r="F953" s="312">
        <f>+IF(A953="UFH",G939/344)+IF(A953="radiators",0)</f>
        <v>0</v>
      </c>
      <c r="G953" s="289" t="s">
        <v>527</v>
      </c>
      <c r="H953" s="298"/>
    </row>
    <row r="954" spans="1:8" ht="14.25" customHeight="1">
      <c r="C954" s="289"/>
      <c r="D954" s="289"/>
      <c r="E954" s="289"/>
      <c r="F954" s="289"/>
      <c r="G954" s="421"/>
      <c r="H954" s="298"/>
    </row>
    <row r="955" spans="1:8" ht="14.25" customHeight="1">
      <c r="A955" s="268"/>
      <c r="B955" s="289"/>
      <c r="C955" s="289"/>
      <c r="D955" s="289"/>
      <c r="E955" s="289"/>
      <c r="F955" s="301"/>
      <c r="G955" s="722" t="s">
        <v>553</v>
      </c>
      <c r="H955" s="264"/>
    </row>
    <row r="956" spans="1:8" ht="14.25" customHeight="1">
      <c r="A956" s="468" t="s">
        <v>245</v>
      </c>
      <c r="B956" s="469" t="s">
        <v>126</v>
      </c>
      <c r="C956" s="289"/>
      <c r="D956" s="469" t="s">
        <v>14</v>
      </c>
      <c r="E956" s="469" t="s">
        <v>246</v>
      </c>
      <c r="F956" s="469" t="s">
        <v>15</v>
      </c>
      <c r="G956" s="723"/>
      <c r="H956" s="298"/>
    </row>
    <row r="957" spans="1:8" ht="14.25" customHeight="1">
      <c r="A957" s="23">
        <v>600</v>
      </c>
      <c r="B957" s="11">
        <v>1000</v>
      </c>
      <c r="C957" s="289"/>
      <c r="D957" s="11" t="s">
        <v>832</v>
      </c>
      <c r="E957" s="312">
        <f>A957*B957*1.05*(+IF(D957="SC_type11",0.000764)+IF(D957="DC_type22",0.001421)+IF(D957="DP+type21",0.001121))*('Data Entry Sheet'!$I$28/(B936+30))</f>
        <v>471.88235294117646</v>
      </c>
      <c r="F957" s="428" t="e">
        <f>+IF(A953="Radiators",((E957/G939)-1),"UFH")</f>
        <v>#DIV/0!</v>
      </c>
      <c r="G957" s="309" t="e">
        <f>IF(A953="Radiators",(((-1*F957)*(B936-'Data Entry Sheet'!$D$32))+'Data Entry Sheet'!$D$32),-10)</f>
        <v>#DIV/0!</v>
      </c>
      <c r="H957" s="303" t="s">
        <v>53</v>
      </c>
    </row>
    <row r="958" spans="1:8" ht="14.25" customHeight="1">
      <c r="A958" s="273"/>
      <c r="C958" s="289"/>
      <c r="D958" s="289"/>
      <c r="E958" s="289"/>
      <c r="F958" s="439" t="s">
        <v>199</v>
      </c>
      <c r="G958" s="440" t="e">
        <f>B936-#REF!</f>
        <v>#REF!</v>
      </c>
      <c r="H958" s="298"/>
    </row>
    <row r="959" spans="1:8" ht="14.25" customHeight="1">
      <c r="A959" s="273" t="s">
        <v>552</v>
      </c>
      <c r="B959" s="289"/>
      <c r="C959" s="289"/>
      <c r="D959" s="289"/>
      <c r="E959" s="289"/>
      <c r="F959" s="289"/>
      <c r="G959" s="309">
        <f>'Data Entry Sheet'!$I$29*G939</f>
        <v>0</v>
      </c>
      <c r="H959" s="298" t="s">
        <v>10</v>
      </c>
    </row>
    <row r="960" spans="1:8" ht="14.25" customHeight="1">
      <c r="A960" s="273" t="s">
        <v>551</v>
      </c>
      <c r="B960" s="289"/>
      <c r="C960" s="289"/>
      <c r="D960" s="308"/>
      <c r="E960" s="289"/>
      <c r="F960" s="289"/>
      <c r="G960" s="422"/>
      <c r="H960" s="298"/>
    </row>
    <row r="961" spans="1:8" ht="14.25" customHeight="1">
      <c r="A961" s="273"/>
      <c r="B961" s="289"/>
      <c r="C961" s="289"/>
      <c r="D961" s="308"/>
      <c r="E961" s="289"/>
      <c r="F961" s="289"/>
      <c r="G961" s="422"/>
      <c r="H961" s="298"/>
    </row>
    <row r="962" spans="1:8" ht="14.25" customHeight="1">
      <c r="A962" s="468" t="s">
        <v>550</v>
      </c>
      <c r="B962" s="469" t="s">
        <v>549</v>
      </c>
      <c r="C962" s="469"/>
      <c r="D962" s="469" t="s">
        <v>14</v>
      </c>
      <c r="E962" s="469"/>
      <c r="F962" s="469"/>
      <c r="G962" s="470"/>
      <c r="H962" s="471"/>
    </row>
    <row r="963" spans="1:8" ht="14.25" customHeight="1">
      <c r="A963" s="315">
        <f>A957</f>
        <v>600</v>
      </c>
      <c r="B963" s="316">
        <f>G939/(A957*0.001421)*(30/('Data Entry Sheet'!$I$28-B936))</f>
        <v>0</v>
      </c>
      <c r="C963" s="289"/>
      <c r="D963" s="316" t="s">
        <v>548</v>
      </c>
      <c r="E963" s="289"/>
      <c r="F963" s="289"/>
      <c r="G963" s="470"/>
      <c r="H963" s="471"/>
    </row>
    <row r="964" spans="1:8" ht="14.25" customHeight="1" thickBot="1">
      <c r="A964" s="472"/>
      <c r="B964" s="306"/>
      <c r="C964" s="306"/>
      <c r="D964" s="306"/>
      <c r="E964" s="306"/>
      <c r="F964" s="306"/>
      <c r="G964" s="423"/>
      <c r="H964" s="304"/>
    </row>
    <row r="965" spans="1:8" ht="14.25" customHeight="1" thickBot="1"/>
    <row r="966" spans="1:8" ht="14.25" customHeight="1">
      <c r="A966" s="719" t="s">
        <v>70</v>
      </c>
      <c r="B966" s="292"/>
      <c r="C966" s="293"/>
      <c r="D966" s="293"/>
      <c r="E966" s="293"/>
      <c r="F966" s="294"/>
      <c r="G966" s="419"/>
      <c r="H966" s="295"/>
    </row>
    <row r="967" spans="1:8" ht="14.25" customHeight="1">
      <c r="A967" s="720"/>
      <c r="B967" s="13" t="s">
        <v>1031</v>
      </c>
      <c r="C967" s="269"/>
      <c r="D967" s="299"/>
      <c r="E967" s="269"/>
      <c r="F967" s="269"/>
      <c r="G967" s="516"/>
      <c r="H967" s="264"/>
    </row>
    <row r="968" spans="1:8" ht="14.25" customHeight="1">
      <c r="A968" s="273" t="s">
        <v>568</v>
      </c>
      <c r="B968" s="14">
        <v>21</v>
      </c>
      <c r="C968" s="397"/>
      <c r="D968" s="516" t="s">
        <v>567</v>
      </c>
      <c r="E968" s="516" t="s">
        <v>9</v>
      </c>
      <c r="F968" s="296"/>
      <c r="G968" s="297" t="s">
        <v>566</v>
      </c>
      <c r="H968" s="298"/>
    </row>
    <row r="969" spans="1:8" ht="14.25" customHeight="1">
      <c r="A969" s="273" t="s">
        <v>565</v>
      </c>
      <c r="B969" s="14">
        <v>2.4</v>
      </c>
      <c r="C969" s="397"/>
      <c r="D969" s="269"/>
      <c r="E969" s="516"/>
      <c r="F969" s="296"/>
      <c r="G969" s="516"/>
      <c r="H969" s="298"/>
    </row>
    <row r="970" spans="1:8" ht="14.25" customHeight="1">
      <c r="A970" s="273" t="s">
        <v>564</v>
      </c>
      <c r="B970" s="15">
        <v>0</v>
      </c>
      <c r="C970" s="397"/>
      <c r="D970" s="269"/>
      <c r="E970" s="269"/>
      <c r="F970" s="296"/>
      <c r="G970" s="516"/>
      <c r="H970" s="298"/>
    </row>
    <row r="971" spans="1:8" ht="14.25" customHeight="1">
      <c r="A971" s="272" t="s">
        <v>563</v>
      </c>
      <c r="B971" s="604" t="s">
        <v>1064</v>
      </c>
      <c r="C971" s="269"/>
      <c r="D971" s="464">
        <f>VLOOKUP(B971,$I$23:$J$49,2,FALSE)</f>
        <v>2.11</v>
      </c>
      <c r="E971" s="311">
        <f>(((B969)*B970)-B972)*(D971+0.15)*(B968-'Data Entry Sheet'!$D$32)</f>
        <v>0</v>
      </c>
      <c r="F971" s="299" t="s">
        <v>10</v>
      </c>
      <c r="G971" s="309">
        <f>SUM(E971:E980)*((B969+81)/83.6)</f>
        <v>0</v>
      </c>
      <c r="H971" s="264"/>
    </row>
    <row r="972" spans="1:8" ht="14.25" customHeight="1" thickBot="1">
      <c r="A972" s="290" t="s">
        <v>562</v>
      </c>
      <c r="B972" s="15">
        <v>0</v>
      </c>
      <c r="C972" s="269"/>
      <c r="D972" s="397"/>
      <c r="E972" s="289"/>
      <c r="F972" s="299"/>
      <c r="G972" s="297" t="s">
        <v>243</v>
      </c>
      <c r="H972" s="298"/>
    </row>
    <row r="973" spans="1:8" ht="14.25" customHeight="1" thickBot="1">
      <c r="A973" s="290" t="s">
        <v>561</v>
      </c>
      <c r="B973" s="604" t="s">
        <v>1064</v>
      </c>
      <c r="C973" s="269"/>
      <c r="D973" s="464">
        <f>VLOOKUP(B973,$I$4:$J$16,2,FALSE)</f>
        <v>2.8</v>
      </c>
      <c r="E973" s="311">
        <f>B972*(D973+0.15)*(B968-'Data Entry Sheet'!$D$32)</f>
        <v>0</v>
      </c>
      <c r="F973" s="299" t="s">
        <v>10</v>
      </c>
      <c r="G973" s="420" t="e">
        <f>G971/B977</f>
        <v>#DIV/0!</v>
      </c>
      <c r="H973" s="264"/>
    </row>
    <row r="974" spans="1:8" ht="14.25" customHeight="1">
      <c r="A974" s="290" t="s">
        <v>560</v>
      </c>
      <c r="B974" s="604">
        <v>0</v>
      </c>
      <c r="C974" s="397"/>
      <c r="D974" s="516"/>
      <c r="E974" s="305"/>
      <c r="F974" s="299"/>
      <c r="G974" s="470" t="s">
        <v>127</v>
      </c>
      <c r="H974" s="298"/>
    </row>
    <row r="975" spans="1:8" ht="14.25" customHeight="1">
      <c r="A975" s="290" t="s">
        <v>559</v>
      </c>
      <c r="B975" s="604">
        <v>0</v>
      </c>
      <c r="C975" s="397"/>
      <c r="D975" s="516"/>
      <c r="E975" s="305"/>
      <c r="F975" s="299"/>
      <c r="G975" s="309">
        <f>+IF(A985="UFH",(G971*0.71/85),((+IF(D989="dp+type21",14.5)+IF(D989="SC_type11",7.3)+IF(D989="SC",7)+IF(D989="DC_type22",14.5))*(A989*B989))/1000000)</f>
        <v>4.38</v>
      </c>
      <c r="H975" s="298" t="s">
        <v>244</v>
      </c>
    </row>
    <row r="976" spans="1:8" ht="14.25" customHeight="1">
      <c r="A976" s="290" t="s">
        <v>558</v>
      </c>
      <c r="B976" s="604" t="s">
        <v>1064</v>
      </c>
      <c r="C976" s="269"/>
      <c r="D976" s="464">
        <f>VLOOKUP(B976,$I$81:$J$100,2,FALSE)</f>
        <v>0.2</v>
      </c>
      <c r="E976" s="311">
        <f>((B974-B975)*(D976+0.15)*(B968-'Data Entry Sheet'!D992))+(B975*(B968-'Data Entry Sheet'!$D$32)*2.8)</f>
        <v>0</v>
      </c>
      <c r="F976" s="299" t="s">
        <v>10</v>
      </c>
      <c r="G976" s="516"/>
      <c r="H976" s="298"/>
    </row>
    <row r="977" spans="1:8" ht="14.25" customHeight="1">
      <c r="A977" s="290" t="s">
        <v>557</v>
      </c>
      <c r="B977" s="604">
        <v>0</v>
      </c>
      <c r="C977" s="397"/>
      <c r="D977" s="305"/>
      <c r="E977" s="305"/>
      <c r="F977" s="300"/>
      <c r="G977" s="516"/>
      <c r="H977" s="298"/>
    </row>
    <row r="978" spans="1:8" ht="14.25" customHeight="1">
      <c r="A978" s="290" t="s">
        <v>556</v>
      </c>
      <c r="B978" s="604" t="s">
        <v>1064</v>
      </c>
      <c r="C978" s="269"/>
      <c r="D978" s="464">
        <f>VLOOKUP(B978,$I$54:$J$75,2,FALSE)</f>
        <v>1</v>
      </c>
      <c r="E978" s="311">
        <f>B977*(D978+0.15)*(B968-( IF(B978="suspended wood ",'Data Entry Sheet'!$D$32,'Data Entry Sheet'!$D$33)))</f>
        <v>0</v>
      </c>
      <c r="F978" s="299" t="s">
        <v>10</v>
      </c>
      <c r="G978" s="516"/>
      <c r="H978" s="298"/>
    </row>
    <row r="979" spans="1:8" ht="14.25" customHeight="1">
      <c r="A979" s="290"/>
      <c r="B979" s="289"/>
      <c r="C979" s="516"/>
      <c r="D979" s="307"/>
      <c r="E979" s="307"/>
      <c r="F979" s="299"/>
      <c r="G979" s="516"/>
      <c r="H979" s="298"/>
    </row>
    <row r="980" spans="1:8" ht="14.25" customHeight="1">
      <c r="A980" s="291" t="s">
        <v>555</v>
      </c>
      <c r="B980" s="604" t="s">
        <v>972</v>
      </c>
      <c r="C980" s="269"/>
      <c r="D980" s="464">
        <f>VLOOKUP(B980,$I$113:J1083,2,FALSE)</f>
        <v>1.5</v>
      </c>
      <c r="E980" s="311">
        <f>(B968-'Data Entry Sheet'!$D$32)*0.33*(B977*B969)*D980</f>
        <v>0</v>
      </c>
      <c r="F980" s="299" t="s">
        <v>10</v>
      </c>
      <c r="G980" s="516"/>
      <c r="H980" s="298"/>
    </row>
    <row r="981" spans="1:8" ht="14.25" customHeight="1">
      <c r="A981" s="268"/>
      <c r="B981" s="289"/>
      <c r="C981" s="289"/>
      <c r="D981" s="289"/>
      <c r="E981" s="289"/>
      <c r="F981" s="301"/>
      <c r="G981" s="421"/>
      <c r="H981" s="264"/>
    </row>
    <row r="982" spans="1:8" ht="14.25" customHeight="1">
      <c r="A982" s="718" t="s">
        <v>554</v>
      </c>
      <c r="B982" s="289"/>
      <c r="C982" s="289"/>
      <c r="D982" s="289"/>
      <c r="E982" s="289"/>
      <c r="F982" s="289"/>
      <c r="G982" s="299"/>
      <c r="H982" s="302"/>
    </row>
    <row r="983" spans="1:8" ht="14.25" customHeight="1">
      <c r="A983" s="718"/>
      <c r="C983" s="289"/>
      <c r="D983" s="289"/>
      <c r="E983" s="421"/>
      <c r="F983" s="421"/>
      <c r="G983" s="421"/>
      <c r="H983" s="298"/>
    </row>
    <row r="984" spans="1:8" ht="14.25" customHeight="1">
      <c r="A984" s="551" t="s">
        <v>751</v>
      </c>
      <c r="B984" s="469" t="s">
        <v>993</v>
      </c>
      <c r="C984" s="289"/>
      <c r="D984" s="269" t="s">
        <v>1062</v>
      </c>
      <c r="E984" s="289"/>
      <c r="F984" s="289"/>
      <c r="G984" s="421"/>
      <c r="H984" s="298"/>
    </row>
    <row r="985" spans="1:8" ht="14.25" customHeight="1">
      <c r="A985" s="133" t="s">
        <v>1081</v>
      </c>
      <c r="B985" s="133" t="s">
        <v>460</v>
      </c>
      <c r="C985" s="289"/>
      <c r="D985" s="133" t="s">
        <v>1063</v>
      </c>
      <c r="F985" s="312">
        <f>+IF(A985="UFH",G971/344)+IF(A985="radiators",0)</f>
        <v>0</v>
      </c>
      <c r="G985" s="289" t="s">
        <v>527</v>
      </c>
      <c r="H985" s="298"/>
    </row>
    <row r="986" spans="1:8" ht="14.25" customHeight="1">
      <c r="C986" s="289"/>
      <c r="D986" s="289"/>
      <c r="E986" s="289"/>
      <c r="F986" s="289"/>
      <c r="G986" s="421"/>
      <c r="H986" s="298"/>
    </row>
    <row r="987" spans="1:8" ht="14.25" customHeight="1">
      <c r="A987" s="268"/>
      <c r="B987" s="289"/>
      <c r="C987" s="289"/>
      <c r="D987" s="289"/>
      <c r="E987" s="289"/>
      <c r="F987" s="301"/>
      <c r="G987" s="722" t="s">
        <v>553</v>
      </c>
      <c r="H987" s="264"/>
    </row>
    <row r="988" spans="1:8" ht="14.25" customHeight="1">
      <c r="A988" s="468" t="s">
        <v>245</v>
      </c>
      <c r="B988" s="469" t="s">
        <v>126</v>
      </c>
      <c r="C988" s="289"/>
      <c r="D988" s="469" t="s">
        <v>14</v>
      </c>
      <c r="E988" s="469" t="s">
        <v>246</v>
      </c>
      <c r="F988" s="469" t="s">
        <v>15</v>
      </c>
      <c r="G988" s="723"/>
      <c r="H988" s="298"/>
    </row>
    <row r="989" spans="1:8" ht="14.25" customHeight="1">
      <c r="A989" s="23">
        <v>600</v>
      </c>
      <c r="B989" s="11">
        <v>1000</v>
      </c>
      <c r="C989" s="289"/>
      <c r="D989" s="11" t="s">
        <v>832</v>
      </c>
      <c r="E989" s="312">
        <f>A989*B989*1.05*(+IF(D989="SC_type11",0.000764)+IF(D989="DC_type22",0.001421)+IF(D989="DP+type21",0.001121))*('Data Entry Sheet'!$I$28/(B968+30))</f>
        <v>471.88235294117646</v>
      </c>
      <c r="F989" s="428" t="e">
        <f>+IF(A985="Radiators",((E989/G971)-1),"UFH")</f>
        <v>#DIV/0!</v>
      </c>
      <c r="G989" s="309" t="e">
        <f>IF(A985="Radiators",(((-1*F989)*(B968-'Data Entry Sheet'!$D$32))+'Data Entry Sheet'!$D$32),-10)</f>
        <v>#DIV/0!</v>
      </c>
      <c r="H989" s="303" t="s">
        <v>53</v>
      </c>
    </row>
    <row r="990" spans="1:8" ht="14.25" customHeight="1">
      <c r="A990" s="273"/>
      <c r="C990" s="289"/>
      <c r="D990" s="289"/>
      <c r="E990" s="289"/>
      <c r="F990" s="439" t="s">
        <v>199</v>
      </c>
      <c r="G990" s="440" t="e">
        <f>B968-#REF!</f>
        <v>#REF!</v>
      </c>
      <c r="H990" s="298"/>
    </row>
    <row r="991" spans="1:8" ht="14.25" customHeight="1">
      <c r="A991" s="273" t="s">
        <v>552</v>
      </c>
      <c r="B991" s="289"/>
      <c r="C991" s="289"/>
      <c r="D991" s="289"/>
      <c r="E991" s="289"/>
      <c r="F991" s="289"/>
      <c r="G991" s="309">
        <f>'Data Entry Sheet'!$I$29*G971</f>
        <v>0</v>
      </c>
      <c r="H991" s="298" t="s">
        <v>10</v>
      </c>
    </row>
    <row r="992" spans="1:8" ht="14.25" customHeight="1">
      <c r="A992" s="273" t="s">
        <v>551</v>
      </c>
      <c r="B992" s="289"/>
      <c r="C992" s="289"/>
      <c r="D992" s="308"/>
      <c r="E992" s="289"/>
      <c r="F992" s="289"/>
      <c r="G992" s="422"/>
      <c r="H992" s="298"/>
    </row>
    <row r="993" spans="1:8" ht="14.25" customHeight="1">
      <c r="A993" s="273"/>
      <c r="B993" s="289"/>
      <c r="C993" s="289"/>
      <c r="D993" s="308"/>
      <c r="E993" s="289"/>
      <c r="F993" s="289"/>
      <c r="G993" s="422"/>
      <c r="H993" s="298"/>
    </row>
    <row r="994" spans="1:8" ht="14.25" customHeight="1">
      <c r="A994" s="468" t="s">
        <v>550</v>
      </c>
      <c r="B994" s="469" t="s">
        <v>549</v>
      </c>
      <c r="C994" s="469"/>
      <c r="D994" s="469" t="s">
        <v>14</v>
      </c>
      <c r="E994" s="469"/>
      <c r="F994" s="469"/>
      <c r="G994" s="470"/>
      <c r="H994" s="471"/>
    </row>
    <row r="995" spans="1:8" ht="14.25" customHeight="1">
      <c r="A995" s="315">
        <f>A989</f>
        <v>600</v>
      </c>
      <c r="B995" s="316">
        <f>G971/(A989*0.001421)*(30/('Data Entry Sheet'!$I$28-B968))</f>
        <v>0</v>
      </c>
      <c r="C995" s="289"/>
      <c r="D995" s="316" t="s">
        <v>548</v>
      </c>
      <c r="E995" s="289"/>
      <c r="F995" s="289"/>
      <c r="G995" s="470"/>
      <c r="H995" s="471"/>
    </row>
    <row r="996" spans="1:8" ht="14.25" customHeight="1" thickBot="1">
      <c r="A996" s="472"/>
      <c r="B996" s="306"/>
      <c r="C996" s="306"/>
      <c r="D996" s="306"/>
      <c r="E996" s="306"/>
      <c r="F996" s="306"/>
      <c r="G996" s="423"/>
      <c r="H996" s="304"/>
    </row>
    <row r="997" spans="1:8" ht="14.25" customHeight="1" thickBot="1"/>
    <row r="998" spans="1:8" ht="14.25" customHeight="1">
      <c r="A998" s="719" t="s">
        <v>70</v>
      </c>
      <c r="B998" s="292"/>
      <c r="C998" s="293"/>
      <c r="D998" s="293"/>
      <c r="E998" s="293"/>
      <c r="F998" s="294"/>
      <c r="G998" s="419"/>
      <c r="H998" s="295"/>
    </row>
    <row r="999" spans="1:8" ht="14.25" customHeight="1">
      <c r="A999" s="720"/>
      <c r="B999" s="13" t="s">
        <v>1032</v>
      </c>
      <c r="C999" s="269"/>
      <c r="D999" s="299"/>
      <c r="E999" s="269"/>
      <c r="F999" s="269"/>
      <c r="G999" s="516"/>
      <c r="H999" s="264"/>
    </row>
    <row r="1000" spans="1:8" ht="14.25" customHeight="1">
      <c r="A1000" s="273" t="s">
        <v>568</v>
      </c>
      <c r="B1000" s="14">
        <v>21</v>
      </c>
      <c r="C1000" s="397"/>
      <c r="D1000" s="516" t="s">
        <v>567</v>
      </c>
      <c r="E1000" s="516" t="s">
        <v>9</v>
      </c>
      <c r="F1000" s="296"/>
      <c r="G1000" s="297" t="s">
        <v>566</v>
      </c>
      <c r="H1000" s="298"/>
    </row>
    <row r="1001" spans="1:8" ht="14.25" customHeight="1">
      <c r="A1001" s="273" t="s">
        <v>565</v>
      </c>
      <c r="B1001" s="14">
        <v>2.4</v>
      </c>
      <c r="C1001" s="397"/>
      <c r="D1001" s="269"/>
      <c r="E1001" s="516"/>
      <c r="F1001" s="296"/>
      <c r="G1001" s="516"/>
      <c r="H1001" s="298"/>
    </row>
    <row r="1002" spans="1:8" ht="14.25" customHeight="1">
      <c r="A1002" s="273" t="s">
        <v>564</v>
      </c>
      <c r="B1002" s="15">
        <v>0</v>
      </c>
      <c r="C1002" s="397"/>
      <c r="D1002" s="269"/>
      <c r="E1002" s="269"/>
      <c r="F1002" s="296"/>
      <c r="G1002" s="516"/>
      <c r="H1002" s="298"/>
    </row>
    <row r="1003" spans="1:8" ht="14.25" customHeight="1">
      <c r="A1003" s="272" t="s">
        <v>563</v>
      </c>
      <c r="B1003" s="604" t="s">
        <v>1064</v>
      </c>
      <c r="C1003" s="269"/>
      <c r="D1003" s="464">
        <f>VLOOKUP(B1003,$I$23:$J$49,2,FALSE)</f>
        <v>2.11</v>
      </c>
      <c r="E1003" s="311">
        <f>(((B1001)*B1002)-B1004)*(D1003+0.15)*(B1000-'Data Entry Sheet'!$D$32)</f>
        <v>0</v>
      </c>
      <c r="F1003" s="299" t="s">
        <v>10</v>
      </c>
      <c r="G1003" s="309">
        <f>SUM(E1003:E1012)*((B1001+81)/83.6)</f>
        <v>0</v>
      </c>
      <c r="H1003" s="264"/>
    </row>
    <row r="1004" spans="1:8" ht="14.25" customHeight="1" thickBot="1">
      <c r="A1004" s="290" t="s">
        <v>562</v>
      </c>
      <c r="B1004" s="15">
        <v>0</v>
      </c>
      <c r="C1004" s="269"/>
      <c r="D1004" s="397"/>
      <c r="E1004" s="289"/>
      <c r="F1004" s="299"/>
      <c r="G1004" s="297" t="s">
        <v>243</v>
      </c>
      <c r="H1004" s="298"/>
    </row>
    <row r="1005" spans="1:8" ht="14.25" customHeight="1" thickBot="1">
      <c r="A1005" s="290" t="s">
        <v>561</v>
      </c>
      <c r="B1005" s="604" t="s">
        <v>1064</v>
      </c>
      <c r="C1005" s="269"/>
      <c r="D1005" s="464">
        <f>VLOOKUP(B1005,$I$4:$J$16,2,FALSE)</f>
        <v>2.8</v>
      </c>
      <c r="E1005" s="311">
        <f>B1004*(D1005+0.15)*(B1000-'Data Entry Sheet'!$D$32)</f>
        <v>0</v>
      </c>
      <c r="F1005" s="299" t="s">
        <v>10</v>
      </c>
      <c r="G1005" s="420" t="e">
        <f>G1003/B1009</f>
        <v>#DIV/0!</v>
      </c>
      <c r="H1005" s="264"/>
    </row>
    <row r="1006" spans="1:8" ht="14.25" customHeight="1">
      <c r="A1006" s="290" t="s">
        <v>560</v>
      </c>
      <c r="B1006" s="604">
        <v>0</v>
      </c>
      <c r="C1006" s="397"/>
      <c r="D1006" s="516"/>
      <c r="E1006" s="305"/>
      <c r="F1006" s="299"/>
      <c r="G1006" s="470" t="s">
        <v>127</v>
      </c>
      <c r="H1006" s="298"/>
    </row>
    <row r="1007" spans="1:8" ht="14.25" customHeight="1">
      <c r="A1007" s="290" t="s">
        <v>559</v>
      </c>
      <c r="B1007" s="604">
        <v>0</v>
      </c>
      <c r="C1007" s="397"/>
      <c r="D1007" s="516"/>
      <c r="E1007" s="305"/>
      <c r="F1007" s="299"/>
      <c r="G1007" s="309">
        <f>+IF(A1017="UFH",(G1003*0.71/85),((+IF(D1021="dp+type21",14.5)+IF(D1021="SC_type11",7.3)+IF(D1021="SC",7)+IF(D1021="DC_type22",14.5))*(A1021*B1021))/1000000)</f>
        <v>4.38</v>
      </c>
      <c r="H1007" s="298" t="s">
        <v>244</v>
      </c>
    </row>
    <row r="1008" spans="1:8" ht="14.25" customHeight="1">
      <c r="A1008" s="290" t="s">
        <v>558</v>
      </c>
      <c r="B1008" s="604" t="s">
        <v>1064</v>
      </c>
      <c r="C1008" s="269"/>
      <c r="D1008" s="464">
        <f>VLOOKUP(B1008,$I$81:$J$100,2,FALSE)</f>
        <v>0.2</v>
      </c>
      <c r="E1008" s="311">
        <f>((B1006-B1007)*(D1008+0.15)*(B1000-'Data Entry Sheet'!D1024))+(B1007*(B1000-'Data Entry Sheet'!$D$32)*2.8)</f>
        <v>0</v>
      </c>
      <c r="F1008" s="299" t="s">
        <v>10</v>
      </c>
      <c r="G1008" s="516"/>
      <c r="H1008" s="298"/>
    </row>
    <row r="1009" spans="1:8" ht="14.25" customHeight="1">
      <c r="A1009" s="290" t="s">
        <v>557</v>
      </c>
      <c r="B1009" s="604">
        <v>0</v>
      </c>
      <c r="C1009" s="397"/>
      <c r="D1009" s="305"/>
      <c r="E1009" s="305"/>
      <c r="F1009" s="300"/>
      <c r="G1009" s="516"/>
      <c r="H1009" s="298"/>
    </row>
    <row r="1010" spans="1:8" ht="14.25" customHeight="1">
      <c r="A1010" s="290" t="s">
        <v>556</v>
      </c>
      <c r="B1010" s="604" t="s">
        <v>1064</v>
      </c>
      <c r="C1010" s="269"/>
      <c r="D1010" s="464">
        <f>VLOOKUP(B1010,$I$54:$J$75,2,FALSE)</f>
        <v>1</v>
      </c>
      <c r="E1010" s="311">
        <f>B1009*(D1010+0.15)*(B1000-( IF(B1010="suspended wood ",'Data Entry Sheet'!$D$32,'Data Entry Sheet'!$D$33)))</f>
        <v>0</v>
      </c>
      <c r="F1010" s="299" t="s">
        <v>10</v>
      </c>
      <c r="G1010" s="516"/>
      <c r="H1010" s="298"/>
    </row>
    <row r="1011" spans="1:8" ht="14.25" customHeight="1">
      <c r="A1011" s="290"/>
      <c r="B1011" s="289"/>
      <c r="C1011" s="516"/>
      <c r="D1011" s="307"/>
      <c r="E1011" s="307"/>
      <c r="F1011" s="299"/>
      <c r="G1011" s="516"/>
      <c r="H1011" s="298"/>
    </row>
    <row r="1012" spans="1:8" ht="14.25" customHeight="1">
      <c r="A1012" s="291" t="s">
        <v>555</v>
      </c>
      <c r="B1012" s="604" t="s">
        <v>972</v>
      </c>
      <c r="C1012" s="269"/>
      <c r="D1012" s="464">
        <f>VLOOKUP(B1012,$I$113:J1115,2,FALSE)</f>
        <v>1.5</v>
      </c>
      <c r="E1012" s="311">
        <f>(B1000-'Data Entry Sheet'!$D$32)*0.33*(B1009*B1001)*D1012</f>
        <v>0</v>
      </c>
      <c r="F1012" s="299" t="s">
        <v>10</v>
      </c>
      <c r="G1012" s="516"/>
      <c r="H1012" s="298"/>
    </row>
    <row r="1013" spans="1:8" ht="14.25" customHeight="1">
      <c r="A1013" s="268"/>
      <c r="B1013" s="289"/>
      <c r="C1013" s="289"/>
      <c r="D1013" s="289"/>
      <c r="E1013" s="289"/>
      <c r="F1013" s="301"/>
      <c r="G1013" s="421"/>
      <c r="H1013" s="264"/>
    </row>
    <row r="1014" spans="1:8" ht="14.25" customHeight="1">
      <c r="A1014" s="718" t="s">
        <v>554</v>
      </c>
      <c r="B1014" s="289"/>
      <c r="C1014" s="289"/>
      <c r="D1014" s="289"/>
      <c r="E1014" s="289"/>
      <c r="F1014" s="289"/>
      <c r="G1014" s="299"/>
      <c r="H1014" s="302"/>
    </row>
    <row r="1015" spans="1:8" ht="14.25" customHeight="1">
      <c r="A1015" s="718"/>
      <c r="C1015" s="289"/>
      <c r="D1015" s="289"/>
      <c r="E1015" s="421"/>
      <c r="F1015" s="421"/>
      <c r="G1015" s="421"/>
      <c r="H1015" s="298"/>
    </row>
    <row r="1016" spans="1:8" ht="14.25" customHeight="1">
      <c r="A1016" s="551" t="s">
        <v>751</v>
      </c>
      <c r="B1016" s="469" t="s">
        <v>993</v>
      </c>
      <c r="C1016" s="289"/>
      <c r="D1016" s="269" t="s">
        <v>1062</v>
      </c>
      <c r="E1016" s="289"/>
      <c r="F1016" s="289"/>
      <c r="G1016" s="421"/>
      <c r="H1016" s="298"/>
    </row>
    <row r="1017" spans="1:8" ht="14.25" customHeight="1">
      <c r="A1017" s="133" t="s">
        <v>1081</v>
      </c>
      <c r="B1017" s="133" t="s">
        <v>460</v>
      </c>
      <c r="C1017" s="289"/>
      <c r="D1017" s="133" t="s">
        <v>1063</v>
      </c>
      <c r="F1017" s="312">
        <f>+IF(A1017="UFH",G1003/344)+IF(A1017="radiators",0)</f>
        <v>0</v>
      </c>
      <c r="G1017" s="289" t="s">
        <v>527</v>
      </c>
      <c r="H1017" s="298"/>
    </row>
    <row r="1018" spans="1:8" ht="14.25" customHeight="1">
      <c r="C1018" s="289"/>
      <c r="D1018" s="289"/>
      <c r="E1018" s="289"/>
      <c r="F1018" s="289"/>
      <c r="G1018" s="421"/>
      <c r="H1018" s="298"/>
    </row>
    <row r="1019" spans="1:8" ht="14.25" customHeight="1">
      <c r="A1019" s="268"/>
      <c r="B1019" s="289"/>
      <c r="C1019" s="289"/>
      <c r="D1019" s="289"/>
      <c r="E1019" s="289"/>
      <c r="F1019" s="301"/>
      <c r="G1019" s="722" t="s">
        <v>553</v>
      </c>
      <c r="H1019" s="264"/>
    </row>
    <row r="1020" spans="1:8" ht="14.25" customHeight="1">
      <c r="A1020" s="468" t="s">
        <v>245</v>
      </c>
      <c r="B1020" s="469" t="s">
        <v>126</v>
      </c>
      <c r="C1020" s="289"/>
      <c r="D1020" s="469" t="s">
        <v>14</v>
      </c>
      <c r="E1020" s="469" t="s">
        <v>246</v>
      </c>
      <c r="F1020" s="469" t="s">
        <v>15</v>
      </c>
      <c r="G1020" s="723"/>
      <c r="H1020" s="298"/>
    </row>
    <row r="1021" spans="1:8" ht="14.25" customHeight="1">
      <c r="A1021" s="23">
        <v>600</v>
      </c>
      <c r="B1021" s="11">
        <v>1000</v>
      </c>
      <c r="C1021" s="289"/>
      <c r="D1021" s="11" t="s">
        <v>832</v>
      </c>
      <c r="E1021" s="312">
        <f>A1021*B1021*1.05*(+IF(D1021="SC_type11",0.000764)+IF(D1021="DC_type22",0.001421)+IF(D1021="DP+type21",0.001121))*('Data Entry Sheet'!$I$28/(B1000+30))</f>
        <v>471.88235294117646</v>
      </c>
      <c r="F1021" s="428" t="e">
        <f>+IF(A1017="Radiators",((E1021/G1003)-1),"UFH")</f>
        <v>#DIV/0!</v>
      </c>
      <c r="G1021" s="309" t="e">
        <f>IF(A1017="Radiators",(((-1*F1021)*(B1000-'Data Entry Sheet'!$D$32))+'Data Entry Sheet'!$D$32),-10)</f>
        <v>#DIV/0!</v>
      </c>
      <c r="H1021" s="303" t="s">
        <v>53</v>
      </c>
    </row>
    <row r="1022" spans="1:8" ht="14.25" customHeight="1">
      <c r="A1022" s="273"/>
      <c r="C1022" s="289"/>
      <c r="D1022" s="289"/>
      <c r="E1022" s="289"/>
      <c r="F1022" s="439" t="s">
        <v>199</v>
      </c>
      <c r="G1022" s="440" t="e">
        <f>B1000-#REF!</f>
        <v>#REF!</v>
      </c>
      <c r="H1022" s="298"/>
    </row>
    <row r="1023" spans="1:8" ht="14.25" customHeight="1">
      <c r="A1023" s="273" t="s">
        <v>552</v>
      </c>
      <c r="B1023" s="289"/>
      <c r="C1023" s="289"/>
      <c r="D1023" s="289"/>
      <c r="E1023" s="289"/>
      <c r="F1023" s="289"/>
      <c r="G1023" s="309">
        <f>'Data Entry Sheet'!$I$29*G1003</f>
        <v>0</v>
      </c>
      <c r="H1023" s="298" t="s">
        <v>10</v>
      </c>
    </row>
    <row r="1024" spans="1:8" ht="14.25" customHeight="1">
      <c r="A1024" s="273" t="s">
        <v>551</v>
      </c>
      <c r="B1024" s="289"/>
      <c r="C1024" s="289"/>
      <c r="D1024" s="308"/>
      <c r="E1024" s="289"/>
      <c r="F1024" s="289"/>
      <c r="G1024" s="422"/>
      <c r="H1024" s="298"/>
    </row>
    <row r="1025" spans="1:8" ht="14.25" customHeight="1">
      <c r="A1025" s="273"/>
      <c r="B1025" s="289"/>
      <c r="C1025" s="289"/>
      <c r="D1025" s="308"/>
      <c r="E1025" s="289"/>
      <c r="F1025" s="289"/>
      <c r="G1025" s="422"/>
      <c r="H1025" s="298"/>
    </row>
    <row r="1026" spans="1:8" ht="14.25" customHeight="1">
      <c r="A1026" s="468" t="s">
        <v>550</v>
      </c>
      <c r="B1026" s="469" t="s">
        <v>549</v>
      </c>
      <c r="C1026" s="469"/>
      <c r="D1026" s="469" t="s">
        <v>14</v>
      </c>
      <c r="E1026" s="469"/>
      <c r="F1026" s="469"/>
      <c r="G1026" s="470"/>
      <c r="H1026" s="471"/>
    </row>
    <row r="1027" spans="1:8" ht="14.25" customHeight="1">
      <c r="A1027" s="315">
        <f>A1021</f>
        <v>600</v>
      </c>
      <c r="B1027" s="316">
        <f>G1003/(A1021*0.001421)*(30/('Data Entry Sheet'!$I$28-B1000))</f>
        <v>0</v>
      </c>
      <c r="C1027" s="289"/>
      <c r="D1027" s="316" t="s">
        <v>548</v>
      </c>
      <c r="E1027" s="289"/>
      <c r="F1027" s="289"/>
      <c r="G1027" s="470"/>
      <c r="H1027" s="471"/>
    </row>
    <row r="1028" spans="1:8" ht="14.25" customHeight="1" thickBot="1">
      <c r="A1028" s="472"/>
      <c r="B1028" s="306"/>
      <c r="C1028" s="306"/>
      <c r="D1028" s="306"/>
      <c r="E1028" s="306"/>
      <c r="F1028" s="306"/>
      <c r="G1028" s="423"/>
      <c r="H1028" s="304"/>
    </row>
    <row r="1029" spans="1:8" ht="14.25" customHeight="1" thickBot="1"/>
    <row r="1030" spans="1:8" ht="14.25" customHeight="1">
      <c r="A1030" s="719" t="s">
        <v>70</v>
      </c>
      <c r="B1030" s="292"/>
      <c r="C1030" s="293"/>
      <c r="D1030" s="293"/>
      <c r="E1030" s="293"/>
      <c r="F1030" s="294"/>
      <c r="G1030" s="419"/>
      <c r="H1030" s="295"/>
    </row>
    <row r="1031" spans="1:8" ht="14.25" customHeight="1">
      <c r="A1031" s="720"/>
      <c r="B1031" s="13" t="s">
        <v>1033</v>
      </c>
      <c r="C1031" s="269"/>
      <c r="D1031" s="299"/>
      <c r="E1031" s="269"/>
      <c r="F1031" s="269"/>
      <c r="G1031" s="516"/>
      <c r="H1031" s="264"/>
    </row>
    <row r="1032" spans="1:8" ht="14.25" customHeight="1">
      <c r="A1032" s="273" t="s">
        <v>568</v>
      </c>
      <c r="B1032" s="14">
        <v>21</v>
      </c>
      <c r="C1032" s="397"/>
      <c r="D1032" s="516" t="s">
        <v>567</v>
      </c>
      <c r="E1032" s="516" t="s">
        <v>9</v>
      </c>
      <c r="F1032" s="296"/>
      <c r="G1032" s="297" t="s">
        <v>566</v>
      </c>
      <c r="H1032" s="298"/>
    </row>
    <row r="1033" spans="1:8" ht="14.25" customHeight="1">
      <c r="A1033" s="273" t="s">
        <v>565</v>
      </c>
      <c r="B1033" s="14">
        <v>2.4</v>
      </c>
      <c r="C1033" s="397"/>
      <c r="D1033" s="269"/>
      <c r="E1033" s="516"/>
      <c r="F1033" s="296"/>
      <c r="G1033" s="516"/>
      <c r="H1033" s="298"/>
    </row>
    <row r="1034" spans="1:8" ht="14.25" customHeight="1">
      <c r="A1034" s="273" t="s">
        <v>564</v>
      </c>
      <c r="B1034" s="15">
        <v>0</v>
      </c>
      <c r="C1034" s="397"/>
      <c r="D1034" s="269"/>
      <c r="E1034" s="269"/>
      <c r="F1034" s="296"/>
      <c r="G1034" s="516"/>
      <c r="H1034" s="298"/>
    </row>
    <row r="1035" spans="1:8" ht="14.25" customHeight="1">
      <c r="A1035" s="272" t="s">
        <v>563</v>
      </c>
      <c r="B1035" s="604" t="s">
        <v>1064</v>
      </c>
      <c r="C1035" s="269"/>
      <c r="D1035" s="464">
        <f>VLOOKUP(B1035,$I$23:$J$49,2,FALSE)</f>
        <v>2.11</v>
      </c>
      <c r="E1035" s="311">
        <f>(((B1033)*B1034)-B1036)*(D1035+0.15)*(B1032-'Data Entry Sheet'!$D$32)</f>
        <v>0</v>
      </c>
      <c r="F1035" s="299" t="s">
        <v>10</v>
      </c>
      <c r="G1035" s="309">
        <f>SUM(E1035:E1044)*((B1033+81)/83.6)</f>
        <v>0</v>
      </c>
      <c r="H1035" s="264"/>
    </row>
    <row r="1036" spans="1:8" ht="14.25" customHeight="1" thickBot="1">
      <c r="A1036" s="290" t="s">
        <v>562</v>
      </c>
      <c r="B1036" s="15">
        <v>0</v>
      </c>
      <c r="C1036" s="269"/>
      <c r="D1036" s="397"/>
      <c r="E1036" s="289"/>
      <c r="F1036" s="299"/>
      <c r="G1036" s="297" t="s">
        <v>243</v>
      </c>
      <c r="H1036" s="298"/>
    </row>
    <row r="1037" spans="1:8" ht="14.25" customHeight="1" thickBot="1">
      <c r="A1037" s="290" t="s">
        <v>561</v>
      </c>
      <c r="B1037" s="604" t="s">
        <v>1064</v>
      </c>
      <c r="C1037" s="269"/>
      <c r="D1037" s="464">
        <f>VLOOKUP(B1037,$I$4:$J$16,2,FALSE)</f>
        <v>2.8</v>
      </c>
      <c r="E1037" s="311">
        <f>B1036*(D1037+0.15)*(B1032-'Data Entry Sheet'!$D$32)</f>
        <v>0</v>
      </c>
      <c r="F1037" s="299" t="s">
        <v>10</v>
      </c>
      <c r="G1037" s="420" t="e">
        <f>G1035/B1041</f>
        <v>#DIV/0!</v>
      </c>
      <c r="H1037" s="264"/>
    </row>
    <row r="1038" spans="1:8" ht="14.25" customHeight="1">
      <c r="A1038" s="290" t="s">
        <v>560</v>
      </c>
      <c r="B1038" s="604">
        <v>0</v>
      </c>
      <c r="C1038" s="397"/>
      <c r="D1038" s="516"/>
      <c r="E1038" s="305"/>
      <c r="F1038" s="299"/>
      <c r="G1038" s="470" t="s">
        <v>127</v>
      </c>
      <c r="H1038" s="298"/>
    </row>
    <row r="1039" spans="1:8" ht="14.25" customHeight="1">
      <c r="A1039" s="290" t="s">
        <v>559</v>
      </c>
      <c r="B1039" s="604">
        <v>0</v>
      </c>
      <c r="C1039" s="397"/>
      <c r="D1039" s="516"/>
      <c r="E1039" s="305"/>
      <c r="F1039" s="299"/>
      <c r="G1039" s="309">
        <f>+IF(A1049="UFH",(G1035*0.71/85),((+IF(D1053="dp+type21",14.5)+IF(D1053="SC_type11",7.3)+IF(D1053="SC",7)+IF(D1053="DC_type22",14.5))*(A1053*B1053))/1000000)</f>
        <v>4.38</v>
      </c>
      <c r="H1039" s="298" t="s">
        <v>244</v>
      </c>
    </row>
    <row r="1040" spans="1:8" ht="14.25" customHeight="1">
      <c r="A1040" s="290" t="s">
        <v>558</v>
      </c>
      <c r="B1040" s="604" t="s">
        <v>1064</v>
      </c>
      <c r="C1040" s="269"/>
      <c r="D1040" s="464">
        <f>VLOOKUP(B1040,$I$81:$J$100,2,FALSE)</f>
        <v>0.2</v>
      </c>
      <c r="E1040" s="311">
        <f>((B1038-B1039)*(D1040+0.15)*(B1032-'Data Entry Sheet'!D1056))+(B1039*(B1032-'Data Entry Sheet'!$D$32)*2.8)</f>
        <v>0</v>
      </c>
      <c r="F1040" s="299" t="s">
        <v>10</v>
      </c>
      <c r="G1040" s="516"/>
      <c r="H1040" s="298"/>
    </row>
    <row r="1041" spans="1:8" ht="14.25" customHeight="1">
      <c r="A1041" s="290" t="s">
        <v>557</v>
      </c>
      <c r="B1041" s="604">
        <v>0</v>
      </c>
      <c r="C1041" s="397"/>
      <c r="D1041" s="305"/>
      <c r="E1041" s="305"/>
      <c r="F1041" s="300"/>
      <c r="G1041" s="516"/>
      <c r="H1041" s="298"/>
    </row>
    <row r="1042" spans="1:8" ht="14.25" customHeight="1">
      <c r="A1042" s="290" t="s">
        <v>556</v>
      </c>
      <c r="B1042" s="604" t="s">
        <v>1064</v>
      </c>
      <c r="C1042" s="269"/>
      <c r="D1042" s="464">
        <f>VLOOKUP(B1042,$I$54:$J$75,2,FALSE)</f>
        <v>1</v>
      </c>
      <c r="E1042" s="311">
        <f>B1041*(D1042+0.15)*(B1032-( IF(B1042="suspended wood ",'Data Entry Sheet'!$D$32,'Data Entry Sheet'!$D$33)))</f>
        <v>0</v>
      </c>
      <c r="F1042" s="299" t="s">
        <v>10</v>
      </c>
      <c r="G1042" s="516"/>
      <c r="H1042" s="298"/>
    </row>
    <row r="1043" spans="1:8" ht="14.25" customHeight="1">
      <c r="A1043" s="290"/>
      <c r="B1043" s="289"/>
      <c r="C1043" s="516"/>
      <c r="D1043" s="307"/>
      <c r="E1043" s="307"/>
      <c r="F1043" s="299"/>
      <c r="G1043" s="516"/>
      <c r="H1043" s="298"/>
    </row>
    <row r="1044" spans="1:8" ht="14.25" customHeight="1">
      <c r="A1044" s="291" t="s">
        <v>555</v>
      </c>
      <c r="B1044" s="604" t="s">
        <v>972</v>
      </c>
      <c r="C1044" s="269"/>
      <c r="D1044" s="464">
        <f>VLOOKUP(B1044,$I$113:J1147,2,FALSE)</f>
        <v>1.5</v>
      </c>
      <c r="E1044" s="311">
        <f>(B1032-'Data Entry Sheet'!$D$32)*0.33*(B1041*B1033)*D1044</f>
        <v>0</v>
      </c>
      <c r="F1044" s="299" t="s">
        <v>10</v>
      </c>
      <c r="G1044" s="516"/>
      <c r="H1044" s="298"/>
    </row>
    <row r="1045" spans="1:8" ht="14.25" customHeight="1">
      <c r="A1045" s="268"/>
      <c r="B1045" s="289"/>
      <c r="C1045" s="289"/>
      <c r="D1045" s="289"/>
      <c r="E1045" s="289"/>
      <c r="F1045" s="301"/>
      <c r="G1045" s="421"/>
      <c r="H1045" s="264"/>
    </row>
    <row r="1046" spans="1:8" ht="14.25" customHeight="1">
      <c r="A1046" s="718" t="s">
        <v>554</v>
      </c>
      <c r="B1046" s="289"/>
      <c r="C1046" s="289"/>
      <c r="D1046" s="289"/>
      <c r="E1046" s="289"/>
      <c r="F1046" s="289"/>
      <c r="G1046" s="299"/>
      <c r="H1046" s="302"/>
    </row>
    <row r="1047" spans="1:8" ht="14.25" customHeight="1">
      <c r="A1047" s="718"/>
      <c r="C1047" s="289"/>
      <c r="D1047" s="289"/>
      <c r="E1047" s="421"/>
      <c r="F1047" s="421"/>
      <c r="G1047" s="421"/>
      <c r="H1047" s="298"/>
    </row>
    <row r="1048" spans="1:8" ht="14.25" customHeight="1">
      <c r="A1048" s="551" t="s">
        <v>751</v>
      </c>
      <c r="B1048" s="469" t="s">
        <v>993</v>
      </c>
      <c r="C1048" s="289"/>
      <c r="D1048" s="269" t="s">
        <v>1062</v>
      </c>
      <c r="E1048" s="289"/>
      <c r="F1048" s="289"/>
      <c r="G1048" s="421"/>
      <c r="H1048" s="298"/>
    </row>
    <row r="1049" spans="1:8" ht="14.25" customHeight="1">
      <c r="A1049" s="133" t="s">
        <v>1081</v>
      </c>
      <c r="B1049" s="133" t="s">
        <v>460</v>
      </c>
      <c r="C1049" s="289"/>
      <c r="D1049" s="133" t="s">
        <v>1063</v>
      </c>
      <c r="F1049" s="312">
        <f>+IF(A1049="UFH",G1035/344)+IF(A1049="radiators",0)</f>
        <v>0</v>
      </c>
      <c r="G1049" s="289" t="s">
        <v>527</v>
      </c>
      <c r="H1049" s="298"/>
    </row>
    <row r="1050" spans="1:8" ht="14.25" customHeight="1">
      <c r="C1050" s="289"/>
      <c r="D1050" s="289"/>
      <c r="E1050" s="289"/>
      <c r="F1050" s="289"/>
      <c r="G1050" s="421"/>
      <c r="H1050" s="298"/>
    </row>
    <row r="1051" spans="1:8" ht="14.25" customHeight="1">
      <c r="A1051" s="268"/>
      <c r="B1051" s="289"/>
      <c r="C1051" s="289"/>
      <c r="D1051" s="289"/>
      <c r="E1051" s="289"/>
      <c r="F1051" s="301"/>
      <c r="G1051" s="722" t="s">
        <v>553</v>
      </c>
      <c r="H1051" s="264"/>
    </row>
    <row r="1052" spans="1:8" ht="14.25" customHeight="1">
      <c r="A1052" s="468" t="s">
        <v>245</v>
      </c>
      <c r="B1052" s="469" t="s">
        <v>126</v>
      </c>
      <c r="C1052" s="289"/>
      <c r="D1052" s="469" t="s">
        <v>14</v>
      </c>
      <c r="E1052" s="469" t="s">
        <v>246</v>
      </c>
      <c r="F1052" s="469" t="s">
        <v>15</v>
      </c>
      <c r="G1052" s="723"/>
      <c r="H1052" s="298"/>
    </row>
    <row r="1053" spans="1:8" ht="14.25" customHeight="1">
      <c r="A1053" s="23">
        <v>600</v>
      </c>
      <c r="B1053" s="11">
        <v>1000</v>
      </c>
      <c r="C1053" s="289"/>
      <c r="D1053" s="11" t="s">
        <v>832</v>
      </c>
      <c r="E1053" s="312">
        <f>A1053*B1053*1.05*(+IF(D1053="SC_type11",0.000764)+IF(D1053="DC_type22",0.001421)+IF(D1053="DP+type21",0.001121))*('Data Entry Sheet'!$I$28/(B1032+30))</f>
        <v>471.88235294117646</v>
      </c>
      <c r="F1053" s="428" t="e">
        <f>+IF(A1049="Radiators",((E1053/G1035)-1),"UFH")</f>
        <v>#DIV/0!</v>
      </c>
      <c r="G1053" s="309" t="e">
        <f>IF(A1049="Radiators",(((-1*F1053)*(B1032-'Data Entry Sheet'!$D$32))+'Data Entry Sheet'!$D$32),-10)</f>
        <v>#DIV/0!</v>
      </c>
      <c r="H1053" s="303" t="s">
        <v>53</v>
      </c>
    </row>
    <row r="1054" spans="1:8" ht="14.25" customHeight="1">
      <c r="A1054" s="273"/>
      <c r="C1054" s="289"/>
      <c r="D1054" s="289"/>
      <c r="E1054" s="289"/>
      <c r="F1054" s="439" t="s">
        <v>199</v>
      </c>
      <c r="G1054" s="440" t="e">
        <f>B1032-#REF!</f>
        <v>#REF!</v>
      </c>
      <c r="H1054" s="298"/>
    </row>
    <row r="1055" spans="1:8" ht="14.25" customHeight="1">
      <c r="A1055" s="273" t="s">
        <v>552</v>
      </c>
      <c r="B1055" s="289"/>
      <c r="C1055" s="289"/>
      <c r="D1055" s="289"/>
      <c r="E1055" s="289"/>
      <c r="F1055" s="289"/>
      <c r="G1055" s="309">
        <f>'Data Entry Sheet'!$I$29*G1035</f>
        <v>0</v>
      </c>
      <c r="H1055" s="298" t="s">
        <v>10</v>
      </c>
    </row>
    <row r="1056" spans="1:8" ht="14.25" customHeight="1">
      <c r="A1056" s="273" t="s">
        <v>551</v>
      </c>
      <c r="B1056" s="289"/>
      <c r="C1056" s="289"/>
      <c r="D1056" s="308"/>
      <c r="E1056" s="289"/>
      <c r="F1056" s="289"/>
      <c r="G1056" s="422"/>
      <c r="H1056" s="298"/>
    </row>
    <row r="1057" spans="1:8" ht="14.25" customHeight="1">
      <c r="A1057" s="273"/>
      <c r="B1057" s="289"/>
      <c r="C1057" s="289"/>
      <c r="D1057" s="308"/>
      <c r="E1057" s="289"/>
      <c r="F1057" s="289"/>
      <c r="G1057" s="422"/>
      <c r="H1057" s="298"/>
    </row>
    <row r="1058" spans="1:8" ht="14.25" customHeight="1">
      <c r="A1058" s="468" t="s">
        <v>550</v>
      </c>
      <c r="B1058" s="469" t="s">
        <v>549</v>
      </c>
      <c r="C1058" s="469"/>
      <c r="D1058" s="469" t="s">
        <v>14</v>
      </c>
      <c r="E1058" s="469"/>
      <c r="F1058" s="469"/>
      <c r="G1058" s="470"/>
      <c r="H1058" s="471"/>
    </row>
    <row r="1059" spans="1:8" ht="14.25" customHeight="1">
      <c r="A1059" s="315">
        <f>A1053</f>
        <v>600</v>
      </c>
      <c r="B1059" s="316">
        <f>G1035/(A1053*0.001421)*(30/('Data Entry Sheet'!$I$28-B1032))</f>
        <v>0</v>
      </c>
      <c r="C1059" s="289"/>
      <c r="D1059" s="316" t="s">
        <v>548</v>
      </c>
      <c r="E1059" s="289"/>
      <c r="F1059" s="289"/>
      <c r="G1059" s="470"/>
      <c r="H1059" s="471"/>
    </row>
    <row r="1060" spans="1:8" ht="14.25" customHeight="1" thickBot="1">
      <c r="A1060" s="472"/>
      <c r="B1060" s="306"/>
      <c r="C1060" s="306"/>
      <c r="D1060" s="306"/>
      <c r="E1060" s="306"/>
      <c r="F1060" s="306"/>
      <c r="G1060" s="423"/>
      <c r="H1060" s="304"/>
    </row>
    <row r="1061" spans="1:8" ht="14.25" customHeight="1" thickBot="1"/>
    <row r="1062" spans="1:8" ht="14.25" customHeight="1">
      <c r="A1062" s="719" t="s">
        <v>70</v>
      </c>
      <c r="B1062" s="292"/>
      <c r="C1062" s="293"/>
      <c r="D1062" s="293"/>
      <c r="E1062" s="293"/>
      <c r="F1062" s="294"/>
      <c r="G1062" s="419"/>
      <c r="H1062" s="295"/>
    </row>
    <row r="1063" spans="1:8" ht="14.25" customHeight="1">
      <c r="A1063" s="720"/>
      <c r="B1063" s="13" t="s">
        <v>1034</v>
      </c>
      <c r="C1063" s="269"/>
      <c r="D1063" s="299"/>
      <c r="E1063" s="269"/>
      <c r="F1063" s="269"/>
      <c r="G1063" s="516"/>
      <c r="H1063" s="264"/>
    </row>
    <row r="1064" spans="1:8" ht="14.25" customHeight="1">
      <c r="A1064" s="273" t="s">
        <v>568</v>
      </c>
      <c r="B1064" s="14">
        <v>21</v>
      </c>
      <c r="C1064" s="397"/>
      <c r="D1064" s="516" t="s">
        <v>567</v>
      </c>
      <c r="E1064" s="516" t="s">
        <v>9</v>
      </c>
      <c r="F1064" s="296"/>
      <c r="G1064" s="297" t="s">
        <v>566</v>
      </c>
      <c r="H1064" s="298"/>
    </row>
    <row r="1065" spans="1:8" ht="14.25" customHeight="1">
      <c r="A1065" s="273" t="s">
        <v>565</v>
      </c>
      <c r="B1065" s="14">
        <v>2.4</v>
      </c>
      <c r="C1065" s="397"/>
      <c r="D1065" s="269"/>
      <c r="E1065" s="516"/>
      <c r="F1065" s="296"/>
      <c r="G1065" s="516"/>
      <c r="H1065" s="298"/>
    </row>
    <row r="1066" spans="1:8" ht="14.25" customHeight="1">
      <c r="A1066" s="273" t="s">
        <v>564</v>
      </c>
      <c r="B1066" s="15">
        <v>0</v>
      </c>
      <c r="C1066" s="397"/>
      <c r="D1066" s="269"/>
      <c r="E1066" s="269"/>
      <c r="F1066" s="296"/>
      <c r="G1066" s="516"/>
      <c r="H1066" s="298"/>
    </row>
    <row r="1067" spans="1:8" ht="14.25" customHeight="1">
      <c r="A1067" s="272" t="s">
        <v>563</v>
      </c>
      <c r="B1067" s="604" t="s">
        <v>1064</v>
      </c>
      <c r="C1067" s="269"/>
      <c r="D1067" s="464">
        <f>VLOOKUP(B1067,$I$23:$J$49,2,FALSE)</f>
        <v>2.11</v>
      </c>
      <c r="E1067" s="311">
        <f>(((B1065)*B1066)-B1068)*(D1067+0.15)*(B1064-'Data Entry Sheet'!$D$32)</f>
        <v>0</v>
      </c>
      <c r="F1067" s="299" t="s">
        <v>10</v>
      </c>
      <c r="G1067" s="309">
        <f>SUM(E1067:E1076)*((B1065+81)/83.6)</f>
        <v>0</v>
      </c>
      <c r="H1067" s="264"/>
    </row>
    <row r="1068" spans="1:8" ht="14.25" customHeight="1" thickBot="1">
      <c r="A1068" s="290" t="s">
        <v>562</v>
      </c>
      <c r="B1068" s="15">
        <v>0</v>
      </c>
      <c r="C1068" s="269"/>
      <c r="D1068" s="397"/>
      <c r="E1068" s="289"/>
      <c r="F1068" s="299"/>
      <c r="G1068" s="297" t="s">
        <v>243</v>
      </c>
      <c r="H1068" s="298"/>
    </row>
    <row r="1069" spans="1:8" ht="14.25" customHeight="1" thickBot="1">
      <c r="A1069" s="290" t="s">
        <v>561</v>
      </c>
      <c r="B1069" s="604" t="s">
        <v>1064</v>
      </c>
      <c r="C1069" s="269"/>
      <c r="D1069" s="464">
        <f>VLOOKUP(B1069,$I$4:$J$16,2,FALSE)</f>
        <v>2.8</v>
      </c>
      <c r="E1069" s="311">
        <f>B1068*(D1069+0.15)*(B1064-'Data Entry Sheet'!$D$32)</f>
        <v>0</v>
      </c>
      <c r="F1069" s="299" t="s">
        <v>10</v>
      </c>
      <c r="G1069" s="420" t="e">
        <f>G1067/B1073</f>
        <v>#DIV/0!</v>
      </c>
      <c r="H1069" s="264"/>
    </row>
    <row r="1070" spans="1:8" ht="14.25" customHeight="1">
      <c r="A1070" s="290" t="s">
        <v>560</v>
      </c>
      <c r="B1070" s="604">
        <v>0</v>
      </c>
      <c r="C1070" s="397"/>
      <c r="D1070" s="516"/>
      <c r="E1070" s="305"/>
      <c r="F1070" s="299"/>
      <c r="G1070" s="470" t="s">
        <v>127</v>
      </c>
      <c r="H1070" s="298"/>
    </row>
    <row r="1071" spans="1:8" ht="14.25" customHeight="1">
      <c r="A1071" s="290" t="s">
        <v>559</v>
      </c>
      <c r="B1071" s="604">
        <v>0</v>
      </c>
      <c r="C1071" s="397"/>
      <c r="D1071" s="516"/>
      <c r="E1071" s="305"/>
      <c r="F1071" s="299"/>
      <c r="G1071" s="309">
        <f>+IF(A1081="UFH",(G1067*0.71/85),((+IF(D1085="dp+type21",14.5)+IF(D1085="SC_type11",7.3)+IF(D1085="SC",7)+IF(D1085="DC_type22",14.5))*(A1085*B1085))/1000000)</f>
        <v>4.38</v>
      </c>
      <c r="H1071" s="298" t="s">
        <v>244</v>
      </c>
    </row>
    <row r="1072" spans="1:8" ht="14.25" customHeight="1">
      <c r="A1072" s="290" t="s">
        <v>558</v>
      </c>
      <c r="B1072" s="604" t="s">
        <v>1064</v>
      </c>
      <c r="C1072" s="269"/>
      <c r="D1072" s="464">
        <f>VLOOKUP(B1072,$I$81:$J$100,2,FALSE)</f>
        <v>0.2</v>
      </c>
      <c r="E1072" s="311">
        <f>((B1070-B1071)*(D1072+0.15)*(B1064-'Data Entry Sheet'!D1088))+(B1071*(B1064-'Data Entry Sheet'!$D$32)*2.8)</f>
        <v>0</v>
      </c>
      <c r="F1072" s="299" t="s">
        <v>10</v>
      </c>
      <c r="G1072" s="516"/>
      <c r="H1072" s="298"/>
    </row>
    <row r="1073" spans="1:8" ht="14.25" customHeight="1">
      <c r="A1073" s="290" t="s">
        <v>557</v>
      </c>
      <c r="B1073" s="604">
        <v>0</v>
      </c>
      <c r="C1073" s="397"/>
      <c r="D1073" s="305"/>
      <c r="E1073" s="305"/>
      <c r="F1073" s="300"/>
      <c r="G1073" s="516"/>
      <c r="H1073" s="298"/>
    </row>
    <row r="1074" spans="1:8" ht="14.25" customHeight="1">
      <c r="A1074" s="290" t="s">
        <v>556</v>
      </c>
      <c r="B1074" s="604" t="s">
        <v>1064</v>
      </c>
      <c r="C1074" s="269"/>
      <c r="D1074" s="464">
        <f>VLOOKUP(B1074,$I$54:$J$75,2,FALSE)</f>
        <v>1</v>
      </c>
      <c r="E1074" s="311">
        <f>B1073*(D1074+0.15)*(B1064-( IF(B1074="suspended wood ",'Data Entry Sheet'!$D$32,'Data Entry Sheet'!$D$33)))</f>
        <v>0</v>
      </c>
      <c r="F1074" s="299" t="s">
        <v>10</v>
      </c>
      <c r="G1074" s="516"/>
      <c r="H1074" s="298"/>
    </row>
    <row r="1075" spans="1:8" ht="14.25" customHeight="1">
      <c r="A1075" s="290"/>
      <c r="B1075" s="289"/>
      <c r="C1075" s="516"/>
      <c r="D1075" s="307"/>
      <c r="E1075" s="307"/>
      <c r="F1075" s="299"/>
      <c r="G1075" s="516"/>
      <c r="H1075" s="298"/>
    </row>
    <row r="1076" spans="1:8" ht="14.25" customHeight="1">
      <c r="A1076" s="291" t="s">
        <v>555</v>
      </c>
      <c r="B1076" s="604" t="s">
        <v>972</v>
      </c>
      <c r="C1076" s="269"/>
      <c r="D1076" s="464">
        <f>VLOOKUP(B1076,$I$113:J1179,2,FALSE)</f>
        <v>1.5</v>
      </c>
      <c r="E1076" s="311">
        <f>(B1064-'Data Entry Sheet'!$D$32)*0.33*(B1073*B1065)*D1076</f>
        <v>0</v>
      </c>
      <c r="F1076" s="299" t="s">
        <v>10</v>
      </c>
      <c r="G1076" s="516"/>
      <c r="H1076" s="298"/>
    </row>
    <row r="1077" spans="1:8" ht="14.25" customHeight="1">
      <c r="A1077" s="268"/>
      <c r="B1077" s="289"/>
      <c r="C1077" s="289"/>
      <c r="D1077" s="289"/>
      <c r="E1077" s="289"/>
      <c r="F1077" s="301"/>
      <c r="G1077" s="421"/>
      <c r="H1077" s="264"/>
    </row>
    <row r="1078" spans="1:8" ht="14.25" customHeight="1">
      <c r="A1078" s="718" t="s">
        <v>554</v>
      </c>
      <c r="B1078" s="289"/>
      <c r="C1078" s="289"/>
      <c r="D1078" s="289"/>
      <c r="E1078" s="289"/>
      <c r="F1078" s="289"/>
      <c r="G1078" s="299"/>
      <c r="H1078" s="302"/>
    </row>
    <row r="1079" spans="1:8" ht="14.25" customHeight="1">
      <c r="A1079" s="718"/>
      <c r="C1079" s="289"/>
      <c r="D1079" s="289"/>
      <c r="E1079" s="421"/>
      <c r="F1079" s="421"/>
      <c r="G1079" s="421"/>
      <c r="H1079" s="298"/>
    </row>
    <row r="1080" spans="1:8" ht="14.25" customHeight="1">
      <c r="A1080" s="551" t="s">
        <v>751</v>
      </c>
      <c r="B1080" s="469" t="s">
        <v>993</v>
      </c>
      <c r="C1080" s="289"/>
      <c r="D1080" s="269" t="s">
        <v>1062</v>
      </c>
      <c r="E1080" s="289"/>
      <c r="F1080" s="289"/>
      <c r="G1080" s="421"/>
      <c r="H1080" s="298"/>
    </row>
    <row r="1081" spans="1:8" ht="14.25" customHeight="1">
      <c r="A1081" s="133" t="s">
        <v>1081</v>
      </c>
      <c r="B1081" s="133" t="s">
        <v>460</v>
      </c>
      <c r="C1081" s="289"/>
      <c r="D1081" s="133" t="s">
        <v>1063</v>
      </c>
      <c r="F1081" s="312">
        <f>+IF(A1081="UFH",G1067/344)+IF(A1081="radiators",0)</f>
        <v>0</v>
      </c>
      <c r="G1081" s="289" t="s">
        <v>527</v>
      </c>
      <c r="H1081" s="298"/>
    </row>
    <row r="1082" spans="1:8" ht="14.25" customHeight="1">
      <c r="C1082" s="289"/>
      <c r="D1082" s="289"/>
      <c r="E1082" s="289"/>
      <c r="F1082" s="289"/>
      <c r="G1082" s="421"/>
      <c r="H1082" s="298"/>
    </row>
    <row r="1083" spans="1:8" ht="14.25" customHeight="1">
      <c r="A1083" s="268"/>
      <c r="B1083" s="289"/>
      <c r="C1083" s="289"/>
      <c r="D1083" s="289"/>
      <c r="E1083" s="289"/>
      <c r="F1083" s="301"/>
      <c r="G1083" s="722" t="s">
        <v>553</v>
      </c>
      <c r="H1083" s="264"/>
    </row>
    <row r="1084" spans="1:8" ht="14.25" customHeight="1">
      <c r="A1084" s="468" t="s">
        <v>245</v>
      </c>
      <c r="B1084" s="469" t="s">
        <v>126</v>
      </c>
      <c r="C1084" s="289"/>
      <c r="D1084" s="469" t="s">
        <v>14</v>
      </c>
      <c r="E1084" s="469" t="s">
        <v>246</v>
      </c>
      <c r="F1084" s="469" t="s">
        <v>15</v>
      </c>
      <c r="G1084" s="723"/>
      <c r="H1084" s="298"/>
    </row>
    <row r="1085" spans="1:8" ht="14.25" customHeight="1">
      <c r="A1085" s="23">
        <v>600</v>
      </c>
      <c r="B1085" s="11">
        <v>1000</v>
      </c>
      <c r="C1085" s="289"/>
      <c r="D1085" s="11" t="s">
        <v>832</v>
      </c>
      <c r="E1085" s="312">
        <f>A1085*B1085*1.05*(+IF(D1085="SC_type11",0.000764)+IF(D1085="DC_type22",0.001421)+IF(D1085="DP+type21",0.001121))*('Data Entry Sheet'!$I$28/(B1064+30))</f>
        <v>471.88235294117646</v>
      </c>
      <c r="F1085" s="428" t="e">
        <f>+IF(A1081="Radiators",((E1085/G1067)-1),"UFH")</f>
        <v>#DIV/0!</v>
      </c>
      <c r="G1085" s="309" t="e">
        <f>IF(A1081="Radiators",(((-1*F1085)*(B1064-'Data Entry Sheet'!$D$32))+'Data Entry Sheet'!$D$32),-10)</f>
        <v>#DIV/0!</v>
      </c>
      <c r="H1085" s="303" t="s">
        <v>53</v>
      </c>
    </row>
    <row r="1086" spans="1:8" ht="14.25" customHeight="1">
      <c r="A1086" s="273"/>
      <c r="C1086" s="289"/>
      <c r="D1086" s="289"/>
      <c r="E1086" s="289"/>
      <c r="F1086" s="439" t="s">
        <v>199</v>
      </c>
      <c r="G1086" s="440" t="e">
        <f>B1064-#REF!</f>
        <v>#REF!</v>
      </c>
      <c r="H1086" s="298"/>
    </row>
    <row r="1087" spans="1:8" ht="14.25" customHeight="1">
      <c r="A1087" s="273" t="s">
        <v>552</v>
      </c>
      <c r="B1087" s="289"/>
      <c r="C1087" s="289"/>
      <c r="D1087" s="289"/>
      <c r="E1087" s="289"/>
      <c r="F1087" s="289"/>
      <c r="G1087" s="309">
        <f>'Data Entry Sheet'!$I$29*G1067</f>
        <v>0</v>
      </c>
      <c r="H1087" s="298" t="s">
        <v>10</v>
      </c>
    </row>
    <row r="1088" spans="1:8" ht="14.25" customHeight="1">
      <c r="A1088" s="273" t="s">
        <v>551</v>
      </c>
      <c r="B1088" s="289"/>
      <c r="C1088" s="289"/>
      <c r="D1088" s="308"/>
      <c r="E1088" s="289"/>
      <c r="F1088" s="289"/>
      <c r="G1088" s="422"/>
      <c r="H1088" s="298"/>
    </row>
    <row r="1089" spans="1:8" ht="14.25" customHeight="1">
      <c r="A1089" s="273"/>
      <c r="B1089" s="289"/>
      <c r="C1089" s="289"/>
      <c r="D1089" s="308"/>
      <c r="E1089" s="289"/>
      <c r="F1089" s="289"/>
      <c r="G1089" s="422"/>
      <c r="H1089" s="298"/>
    </row>
    <row r="1090" spans="1:8" ht="14.25" customHeight="1">
      <c r="A1090" s="468" t="s">
        <v>550</v>
      </c>
      <c r="B1090" s="469" t="s">
        <v>549</v>
      </c>
      <c r="C1090" s="469"/>
      <c r="D1090" s="469" t="s">
        <v>14</v>
      </c>
      <c r="E1090" s="469"/>
      <c r="F1090" s="469"/>
      <c r="G1090" s="470"/>
      <c r="H1090" s="471"/>
    </row>
    <row r="1091" spans="1:8" ht="14.25" customHeight="1">
      <c r="A1091" s="315">
        <f>A1085</f>
        <v>600</v>
      </c>
      <c r="B1091" s="316">
        <f>G1067/(A1085*0.001421)*(30/('Data Entry Sheet'!$I$28-B1064))</f>
        <v>0</v>
      </c>
      <c r="C1091" s="289"/>
      <c r="D1091" s="316" t="s">
        <v>548</v>
      </c>
      <c r="E1091" s="289"/>
      <c r="F1091" s="289"/>
      <c r="G1091" s="470"/>
      <c r="H1091" s="471"/>
    </row>
    <row r="1092" spans="1:8" ht="14.25" customHeight="1" thickBot="1">
      <c r="A1092" s="472"/>
      <c r="B1092" s="306"/>
      <c r="C1092" s="306"/>
      <c r="D1092" s="306"/>
      <c r="E1092" s="306"/>
      <c r="F1092" s="306"/>
      <c r="G1092" s="423"/>
      <c r="H1092" s="304"/>
    </row>
    <row r="1093" spans="1:8" ht="14.25" customHeight="1" thickBot="1"/>
    <row r="1094" spans="1:8" ht="14.25" customHeight="1">
      <c r="A1094" s="719" t="s">
        <v>70</v>
      </c>
      <c r="B1094" s="292"/>
      <c r="C1094" s="293"/>
      <c r="D1094" s="293"/>
      <c r="E1094" s="293"/>
      <c r="F1094" s="294"/>
      <c r="G1094" s="419"/>
      <c r="H1094" s="295"/>
    </row>
    <row r="1095" spans="1:8" ht="14.25" customHeight="1">
      <c r="A1095" s="720"/>
      <c r="B1095" s="13" t="s">
        <v>1035</v>
      </c>
      <c r="C1095" s="269"/>
      <c r="D1095" s="299"/>
      <c r="E1095" s="269"/>
      <c r="F1095" s="269"/>
      <c r="G1095" s="516"/>
      <c r="H1095" s="264"/>
    </row>
    <row r="1096" spans="1:8" ht="14.25" customHeight="1">
      <c r="A1096" s="273" t="s">
        <v>568</v>
      </c>
      <c r="B1096" s="14">
        <v>21</v>
      </c>
      <c r="C1096" s="397"/>
      <c r="D1096" s="516" t="s">
        <v>567</v>
      </c>
      <c r="E1096" s="516" t="s">
        <v>9</v>
      </c>
      <c r="F1096" s="296"/>
      <c r="G1096" s="297" t="s">
        <v>566</v>
      </c>
      <c r="H1096" s="298"/>
    </row>
    <row r="1097" spans="1:8" ht="14.25" customHeight="1">
      <c r="A1097" s="273" t="s">
        <v>565</v>
      </c>
      <c r="B1097" s="14">
        <v>2.4</v>
      </c>
      <c r="C1097" s="397"/>
      <c r="D1097" s="269"/>
      <c r="E1097" s="516"/>
      <c r="F1097" s="296"/>
      <c r="G1097" s="516"/>
      <c r="H1097" s="298"/>
    </row>
    <row r="1098" spans="1:8" ht="14.25" customHeight="1">
      <c r="A1098" s="273" t="s">
        <v>564</v>
      </c>
      <c r="B1098" s="15">
        <v>0</v>
      </c>
      <c r="C1098" s="397"/>
      <c r="D1098" s="269"/>
      <c r="E1098" s="269"/>
      <c r="F1098" s="296"/>
      <c r="G1098" s="516"/>
      <c r="H1098" s="298"/>
    </row>
    <row r="1099" spans="1:8" ht="14.25" customHeight="1">
      <c r="A1099" s="272" t="s">
        <v>563</v>
      </c>
      <c r="B1099" s="604" t="s">
        <v>1064</v>
      </c>
      <c r="C1099" s="269"/>
      <c r="D1099" s="464">
        <f>VLOOKUP(B1099,$I$23:$J$49,2,FALSE)</f>
        <v>2.11</v>
      </c>
      <c r="E1099" s="311">
        <f>(((B1097)*B1098)-B1100)*(D1099+0.15)*(B1096-'Data Entry Sheet'!$D$32)</f>
        <v>0</v>
      </c>
      <c r="F1099" s="299" t="s">
        <v>10</v>
      </c>
      <c r="G1099" s="309">
        <f>SUM(E1099:E1108)*((B1097+81)/83.6)</f>
        <v>0</v>
      </c>
      <c r="H1099" s="264"/>
    </row>
    <row r="1100" spans="1:8" ht="14.25" customHeight="1" thickBot="1">
      <c r="A1100" s="290" t="s">
        <v>562</v>
      </c>
      <c r="B1100" s="15">
        <v>0</v>
      </c>
      <c r="C1100" s="269"/>
      <c r="D1100" s="397"/>
      <c r="E1100" s="289"/>
      <c r="F1100" s="299"/>
      <c r="G1100" s="297" t="s">
        <v>243</v>
      </c>
      <c r="H1100" s="298"/>
    </row>
    <row r="1101" spans="1:8" ht="14.25" customHeight="1" thickBot="1">
      <c r="A1101" s="290" t="s">
        <v>561</v>
      </c>
      <c r="B1101" s="604" t="s">
        <v>1064</v>
      </c>
      <c r="C1101" s="269"/>
      <c r="D1101" s="464">
        <f>VLOOKUP(B1101,$I$4:$J$16,2,FALSE)</f>
        <v>2.8</v>
      </c>
      <c r="E1101" s="311">
        <f>B1100*(D1101+0.15)*(B1096-'Data Entry Sheet'!$D$32)</f>
        <v>0</v>
      </c>
      <c r="F1101" s="299" t="s">
        <v>10</v>
      </c>
      <c r="G1101" s="420" t="e">
        <f>G1099/B1105</f>
        <v>#DIV/0!</v>
      </c>
      <c r="H1101" s="264"/>
    </row>
    <row r="1102" spans="1:8" ht="14.25" customHeight="1">
      <c r="A1102" s="290" t="s">
        <v>560</v>
      </c>
      <c r="B1102" s="604">
        <v>0</v>
      </c>
      <c r="C1102" s="397"/>
      <c r="D1102" s="516"/>
      <c r="E1102" s="305"/>
      <c r="F1102" s="299"/>
      <c r="G1102" s="470" t="s">
        <v>127</v>
      </c>
      <c r="H1102" s="298"/>
    </row>
    <row r="1103" spans="1:8" ht="14.25" customHeight="1">
      <c r="A1103" s="290" t="s">
        <v>559</v>
      </c>
      <c r="B1103" s="604">
        <v>0</v>
      </c>
      <c r="C1103" s="397"/>
      <c r="D1103" s="516"/>
      <c r="E1103" s="305"/>
      <c r="F1103" s="299"/>
      <c r="G1103" s="309">
        <f>+IF(A1113="UFH",(G1099*0.71/85),((+IF(D1117="dp+type21",14.5)+IF(D1117="SC_type11",7.3)+IF(D1117="SC",7)+IF(D1117="DC_type22",14.5))*(A1117*B1117))/1000000)</f>
        <v>4.38</v>
      </c>
      <c r="H1103" s="298" t="s">
        <v>244</v>
      </c>
    </row>
    <row r="1104" spans="1:8" ht="14.25" customHeight="1">
      <c r="A1104" s="290" t="s">
        <v>558</v>
      </c>
      <c r="B1104" s="604" t="s">
        <v>1064</v>
      </c>
      <c r="C1104" s="269"/>
      <c r="D1104" s="464">
        <f>VLOOKUP(B1104,$I$81:$J$100,2,FALSE)</f>
        <v>0.2</v>
      </c>
      <c r="E1104" s="311">
        <f>((B1102-B1103)*(D1104+0.15)*(B1096-'Data Entry Sheet'!D1120))+(B1103*(B1096-'Data Entry Sheet'!$D$32)*2.8)</f>
        <v>0</v>
      </c>
      <c r="F1104" s="299" t="s">
        <v>10</v>
      </c>
      <c r="G1104" s="516"/>
      <c r="H1104" s="298"/>
    </row>
    <row r="1105" spans="1:8" ht="14.25" customHeight="1">
      <c r="A1105" s="290" t="s">
        <v>557</v>
      </c>
      <c r="B1105" s="604">
        <v>0</v>
      </c>
      <c r="C1105" s="397"/>
      <c r="D1105" s="305"/>
      <c r="E1105" s="305"/>
      <c r="F1105" s="300"/>
      <c r="G1105" s="516"/>
      <c r="H1105" s="298"/>
    </row>
    <row r="1106" spans="1:8" ht="14.25" customHeight="1">
      <c r="A1106" s="290" t="s">
        <v>556</v>
      </c>
      <c r="B1106" s="604" t="s">
        <v>1064</v>
      </c>
      <c r="C1106" s="269"/>
      <c r="D1106" s="464">
        <f>VLOOKUP(B1106,$I$54:$J$75,2,FALSE)</f>
        <v>1</v>
      </c>
      <c r="E1106" s="311">
        <f>B1105*(D1106+0.15)*(B1096-( IF(B1106="suspended wood ",'Data Entry Sheet'!$D$32,'Data Entry Sheet'!$D$33)))</f>
        <v>0</v>
      </c>
      <c r="F1106" s="299" t="s">
        <v>10</v>
      </c>
      <c r="G1106" s="516"/>
      <c r="H1106" s="298"/>
    </row>
    <row r="1107" spans="1:8" ht="14.25" customHeight="1">
      <c r="A1107" s="290"/>
      <c r="B1107" s="289"/>
      <c r="C1107" s="516"/>
      <c r="D1107" s="307"/>
      <c r="E1107" s="307"/>
      <c r="F1107" s="299"/>
      <c r="G1107" s="516"/>
      <c r="H1107" s="298"/>
    </row>
    <row r="1108" spans="1:8" ht="14.25" customHeight="1">
      <c r="A1108" s="291" t="s">
        <v>555</v>
      </c>
      <c r="B1108" s="604" t="s">
        <v>972</v>
      </c>
      <c r="C1108" s="269"/>
      <c r="D1108" s="464">
        <f>VLOOKUP(B1108,$I$113:J1211,2,FALSE)</f>
        <v>1.5</v>
      </c>
      <c r="E1108" s="311">
        <f>(B1096-'Data Entry Sheet'!$D$32)*0.33*(B1105*B1097)*D1108</f>
        <v>0</v>
      </c>
      <c r="F1108" s="299" t="s">
        <v>10</v>
      </c>
      <c r="G1108" s="516"/>
      <c r="H1108" s="298"/>
    </row>
    <row r="1109" spans="1:8" ht="14.25" customHeight="1">
      <c r="A1109" s="268"/>
      <c r="B1109" s="289"/>
      <c r="C1109" s="289"/>
      <c r="D1109" s="289"/>
      <c r="E1109" s="289"/>
      <c r="F1109" s="301"/>
      <c r="G1109" s="421"/>
      <c r="H1109" s="264"/>
    </row>
    <row r="1110" spans="1:8" ht="14.25" customHeight="1">
      <c r="A1110" s="718" t="s">
        <v>554</v>
      </c>
      <c r="B1110" s="289"/>
      <c r="C1110" s="289"/>
      <c r="D1110" s="289"/>
      <c r="E1110" s="289"/>
      <c r="F1110" s="289"/>
      <c r="G1110" s="299"/>
      <c r="H1110" s="302"/>
    </row>
    <row r="1111" spans="1:8" ht="14.25" customHeight="1">
      <c r="A1111" s="718"/>
      <c r="C1111" s="289"/>
      <c r="D1111" s="289"/>
      <c r="E1111" s="421"/>
      <c r="F1111" s="421"/>
      <c r="G1111" s="421"/>
      <c r="H1111" s="298"/>
    </row>
    <row r="1112" spans="1:8" ht="14.25" customHeight="1">
      <c r="A1112" s="551" t="s">
        <v>751</v>
      </c>
      <c r="B1112" s="469" t="s">
        <v>993</v>
      </c>
      <c r="C1112" s="289"/>
      <c r="D1112" s="269" t="s">
        <v>1062</v>
      </c>
      <c r="E1112" s="289"/>
      <c r="F1112" s="289"/>
      <c r="G1112" s="421"/>
      <c r="H1112" s="298"/>
    </row>
    <row r="1113" spans="1:8" ht="14.25" customHeight="1">
      <c r="A1113" s="133" t="s">
        <v>1081</v>
      </c>
      <c r="B1113" s="133" t="s">
        <v>460</v>
      </c>
      <c r="C1113" s="289"/>
      <c r="D1113" s="133" t="s">
        <v>1063</v>
      </c>
      <c r="F1113" s="312">
        <f>+IF(A1113="UFH",G1099/344)+IF(A1113="radiators",0)</f>
        <v>0</v>
      </c>
      <c r="G1113" s="289" t="s">
        <v>527</v>
      </c>
      <c r="H1113" s="298"/>
    </row>
    <row r="1114" spans="1:8" ht="14.25" customHeight="1">
      <c r="C1114" s="289"/>
      <c r="D1114" s="289"/>
      <c r="E1114" s="289"/>
      <c r="F1114" s="289"/>
      <c r="G1114" s="421"/>
      <c r="H1114" s="298"/>
    </row>
    <row r="1115" spans="1:8" ht="14.25" customHeight="1">
      <c r="A1115" s="268"/>
      <c r="B1115" s="289"/>
      <c r="C1115" s="289"/>
      <c r="D1115" s="289"/>
      <c r="E1115" s="289"/>
      <c r="F1115" s="301"/>
      <c r="G1115" s="722" t="s">
        <v>553</v>
      </c>
      <c r="H1115" s="264"/>
    </row>
    <row r="1116" spans="1:8" ht="14.25" customHeight="1">
      <c r="A1116" s="468" t="s">
        <v>245</v>
      </c>
      <c r="B1116" s="469" t="s">
        <v>126</v>
      </c>
      <c r="C1116" s="289"/>
      <c r="D1116" s="469" t="s">
        <v>14</v>
      </c>
      <c r="E1116" s="469" t="s">
        <v>246</v>
      </c>
      <c r="F1116" s="469" t="s">
        <v>15</v>
      </c>
      <c r="G1116" s="723"/>
      <c r="H1116" s="298"/>
    </row>
    <row r="1117" spans="1:8" ht="14.25" customHeight="1">
      <c r="A1117" s="23">
        <v>600</v>
      </c>
      <c r="B1117" s="11">
        <v>1000</v>
      </c>
      <c r="C1117" s="289"/>
      <c r="D1117" s="11" t="s">
        <v>832</v>
      </c>
      <c r="E1117" s="312">
        <f>A1117*B1117*1.05*(+IF(D1117="SC_type11",0.000764)+IF(D1117="DC_type22",0.001421)+IF(D1117="DP+type21",0.001121))*('Data Entry Sheet'!$I$28/(B1096+30))</f>
        <v>471.88235294117646</v>
      </c>
      <c r="F1117" s="428" t="e">
        <f>+IF(A1113="Radiators",((E1117/G1099)-1),"UFH")</f>
        <v>#DIV/0!</v>
      </c>
      <c r="G1117" s="309" t="e">
        <f>IF(A1113="Radiators",(((-1*F1117)*(B1096-'Data Entry Sheet'!$D$32))+'Data Entry Sheet'!$D$32),-10)</f>
        <v>#DIV/0!</v>
      </c>
      <c r="H1117" s="303" t="s">
        <v>53</v>
      </c>
    </row>
    <row r="1118" spans="1:8" ht="14.25" customHeight="1">
      <c r="A1118" s="273"/>
      <c r="C1118" s="289"/>
      <c r="D1118" s="289"/>
      <c r="E1118" s="289"/>
      <c r="F1118" s="439" t="s">
        <v>199</v>
      </c>
      <c r="G1118" s="440" t="e">
        <f>B1096-#REF!</f>
        <v>#REF!</v>
      </c>
      <c r="H1118" s="298"/>
    </row>
    <row r="1119" spans="1:8" ht="14.25" customHeight="1">
      <c r="A1119" s="273" t="s">
        <v>552</v>
      </c>
      <c r="B1119" s="289"/>
      <c r="C1119" s="289"/>
      <c r="D1119" s="289"/>
      <c r="E1119" s="289"/>
      <c r="F1119" s="289"/>
      <c r="G1119" s="309">
        <f>'Data Entry Sheet'!$I$29*G1099</f>
        <v>0</v>
      </c>
      <c r="H1119" s="298" t="s">
        <v>10</v>
      </c>
    </row>
    <row r="1120" spans="1:8" ht="14.25" customHeight="1">
      <c r="A1120" s="273" t="s">
        <v>551</v>
      </c>
      <c r="B1120" s="289"/>
      <c r="C1120" s="289"/>
      <c r="D1120" s="308"/>
      <c r="E1120" s="289"/>
      <c r="F1120" s="289"/>
      <c r="G1120" s="422"/>
      <c r="H1120" s="298"/>
    </row>
    <row r="1121" spans="1:8" ht="14.25" customHeight="1">
      <c r="A1121" s="273"/>
      <c r="B1121" s="289"/>
      <c r="C1121" s="289"/>
      <c r="D1121" s="308"/>
      <c r="E1121" s="289"/>
      <c r="F1121" s="289"/>
      <c r="G1121" s="422"/>
      <c r="H1121" s="298"/>
    </row>
    <row r="1122" spans="1:8" ht="14.25" customHeight="1">
      <c r="A1122" s="468" t="s">
        <v>550</v>
      </c>
      <c r="B1122" s="469" t="s">
        <v>549</v>
      </c>
      <c r="C1122" s="469"/>
      <c r="D1122" s="469" t="s">
        <v>14</v>
      </c>
      <c r="E1122" s="469"/>
      <c r="F1122" s="469"/>
      <c r="G1122" s="470"/>
      <c r="H1122" s="471"/>
    </row>
    <row r="1123" spans="1:8" ht="14.25" customHeight="1">
      <c r="A1123" s="315">
        <f>A1117</f>
        <v>600</v>
      </c>
      <c r="B1123" s="316">
        <f>G1099/(A1117*0.001421)*(30/('Data Entry Sheet'!$I$28-B1096))</f>
        <v>0</v>
      </c>
      <c r="C1123" s="289"/>
      <c r="D1123" s="316" t="s">
        <v>548</v>
      </c>
      <c r="E1123" s="289"/>
      <c r="F1123" s="289"/>
      <c r="G1123" s="470"/>
      <c r="H1123" s="471"/>
    </row>
    <row r="1124" spans="1:8" ht="14.25" customHeight="1" thickBot="1">
      <c r="A1124" s="472"/>
      <c r="B1124" s="306"/>
      <c r="C1124" s="306"/>
      <c r="D1124" s="306"/>
      <c r="E1124" s="306"/>
      <c r="F1124" s="306"/>
      <c r="G1124" s="423"/>
      <c r="H1124" s="304"/>
    </row>
    <row r="1125" spans="1:8" ht="14.25" customHeight="1" thickBot="1"/>
    <row r="1126" spans="1:8" ht="14.25" customHeight="1">
      <c r="A1126" s="719" t="s">
        <v>70</v>
      </c>
      <c r="B1126" s="292"/>
      <c r="C1126" s="293"/>
      <c r="D1126" s="293"/>
      <c r="E1126" s="293"/>
      <c r="F1126" s="294"/>
      <c r="G1126" s="419"/>
      <c r="H1126" s="295"/>
    </row>
    <row r="1127" spans="1:8" ht="14.25" customHeight="1">
      <c r="A1127" s="720"/>
      <c r="B1127" s="13" t="s">
        <v>1036</v>
      </c>
      <c r="C1127" s="269"/>
      <c r="D1127" s="299"/>
      <c r="E1127" s="269"/>
      <c r="F1127" s="269"/>
      <c r="G1127" s="516"/>
      <c r="H1127" s="264"/>
    </row>
    <row r="1128" spans="1:8" ht="14.25" customHeight="1">
      <c r="A1128" s="273" t="s">
        <v>568</v>
      </c>
      <c r="B1128" s="14">
        <v>21</v>
      </c>
      <c r="C1128" s="397"/>
      <c r="D1128" s="516" t="s">
        <v>567</v>
      </c>
      <c r="E1128" s="516" t="s">
        <v>9</v>
      </c>
      <c r="F1128" s="296"/>
      <c r="G1128" s="297" t="s">
        <v>566</v>
      </c>
      <c r="H1128" s="298"/>
    </row>
    <row r="1129" spans="1:8" ht="14.25" customHeight="1">
      <c r="A1129" s="273" t="s">
        <v>565</v>
      </c>
      <c r="B1129" s="14">
        <v>2.4</v>
      </c>
      <c r="C1129" s="397"/>
      <c r="D1129" s="269"/>
      <c r="E1129" s="516"/>
      <c r="F1129" s="296"/>
      <c r="G1129" s="516"/>
      <c r="H1129" s="298"/>
    </row>
    <row r="1130" spans="1:8" ht="14.25" customHeight="1">
      <c r="A1130" s="273" t="s">
        <v>564</v>
      </c>
      <c r="B1130" s="15">
        <v>0</v>
      </c>
      <c r="C1130" s="397"/>
      <c r="D1130" s="269"/>
      <c r="E1130" s="269"/>
      <c r="F1130" s="296"/>
      <c r="G1130" s="516"/>
      <c r="H1130" s="298"/>
    </row>
    <row r="1131" spans="1:8" ht="14.25" customHeight="1">
      <c r="A1131" s="272" t="s">
        <v>563</v>
      </c>
      <c r="B1131" s="604" t="s">
        <v>1064</v>
      </c>
      <c r="C1131" s="269"/>
      <c r="D1131" s="464">
        <f>VLOOKUP(B1131,$I$23:$J$49,2,FALSE)</f>
        <v>2.11</v>
      </c>
      <c r="E1131" s="311">
        <f>(((B1129)*B1130)-B1132)*(D1131+0.15)*(B1128-'Data Entry Sheet'!$D$32)</f>
        <v>0</v>
      </c>
      <c r="F1131" s="299" t="s">
        <v>10</v>
      </c>
      <c r="G1131" s="309">
        <f>SUM(E1131:E1140)*((B1129+81)/83.6)</f>
        <v>0</v>
      </c>
      <c r="H1131" s="264"/>
    </row>
    <row r="1132" spans="1:8" ht="14.25" customHeight="1" thickBot="1">
      <c r="A1132" s="290" t="s">
        <v>562</v>
      </c>
      <c r="B1132" s="15">
        <v>0</v>
      </c>
      <c r="C1132" s="269"/>
      <c r="D1132" s="397"/>
      <c r="E1132" s="289"/>
      <c r="F1132" s="299"/>
      <c r="G1132" s="297" t="s">
        <v>243</v>
      </c>
      <c r="H1132" s="298"/>
    </row>
    <row r="1133" spans="1:8" ht="14.25" customHeight="1" thickBot="1">
      <c r="A1133" s="290" t="s">
        <v>561</v>
      </c>
      <c r="B1133" s="604" t="s">
        <v>1064</v>
      </c>
      <c r="C1133" s="269"/>
      <c r="D1133" s="464">
        <f>VLOOKUP(B1133,$I$4:$J$16,2,FALSE)</f>
        <v>2.8</v>
      </c>
      <c r="E1133" s="311">
        <f>B1132*(D1133+0.15)*(B1128-'Data Entry Sheet'!$D$32)</f>
        <v>0</v>
      </c>
      <c r="F1133" s="299" t="s">
        <v>10</v>
      </c>
      <c r="G1133" s="420" t="e">
        <f>G1131/B1137</f>
        <v>#DIV/0!</v>
      </c>
      <c r="H1133" s="264"/>
    </row>
    <row r="1134" spans="1:8" ht="14.25" customHeight="1">
      <c r="A1134" s="290" t="s">
        <v>560</v>
      </c>
      <c r="B1134" s="604">
        <v>0</v>
      </c>
      <c r="C1134" s="397"/>
      <c r="D1134" s="516"/>
      <c r="E1134" s="305"/>
      <c r="F1134" s="299"/>
      <c r="G1134" s="470" t="s">
        <v>127</v>
      </c>
      <c r="H1134" s="298"/>
    </row>
    <row r="1135" spans="1:8" ht="14.25" customHeight="1">
      <c r="A1135" s="290" t="s">
        <v>559</v>
      </c>
      <c r="B1135" s="604">
        <v>0</v>
      </c>
      <c r="C1135" s="397"/>
      <c r="D1135" s="516"/>
      <c r="E1135" s="305"/>
      <c r="F1135" s="299"/>
      <c r="G1135" s="309">
        <f>+IF(A1145="UFH",(G1131*0.71/85),((+IF(D1149="dp+type21",14.5)+IF(D1149="SC_type11",7.3)+IF(D1149="SC",7)+IF(D1149="DC_type22",14.5))*(A1149*B1149))/1000000)</f>
        <v>4.38</v>
      </c>
      <c r="H1135" s="298" t="s">
        <v>244</v>
      </c>
    </row>
    <row r="1136" spans="1:8" ht="14.25" customHeight="1">
      <c r="A1136" s="290" t="s">
        <v>558</v>
      </c>
      <c r="B1136" s="604" t="s">
        <v>1064</v>
      </c>
      <c r="C1136" s="269"/>
      <c r="D1136" s="464">
        <f>VLOOKUP(B1136,$I$81:$J$100,2,FALSE)</f>
        <v>0.2</v>
      </c>
      <c r="E1136" s="311">
        <f>((B1134-B1135)*(D1136+0.15)*(B1128-'Data Entry Sheet'!D1152))+(B1135*(B1128-'Data Entry Sheet'!$D$32)*2.8)</f>
        <v>0</v>
      </c>
      <c r="F1136" s="299" t="s">
        <v>10</v>
      </c>
      <c r="G1136" s="516"/>
      <c r="H1136" s="298"/>
    </row>
    <row r="1137" spans="1:8" ht="14.25" customHeight="1">
      <c r="A1137" s="290" t="s">
        <v>557</v>
      </c>
      <c r="B1137" s="604">
        <v>0</v>
      </c>
      <c r="C1137" s="397"/>
      <c r="D1137" s="305"/>
      <c r="E1137" s="305"/>
      <c r="F1137" s="300"/>
      <c r="G1137" s="516"/>
      <c r="H1137" s="298"/>
    </row>
    <row r="1138" spans="1:8" ht="14.25" customHeight="1">
      <c r="A1138" s="290" t="s">
        <v>556</v>
      </c>
      <c r="B1138" s="604" t="s">
        <v>1064</v>
      </c>
      <c r="C1138" s="269"/>
      <c r="D1138" s="464">
        <f>VLOOKUP(B1138,$I$54:$J$75,2,FALSE)</f>
        <v>1</v>
      </c>
      <c r="E1138" s="311">
        <f>B1137*(D1138+0.15)*(B1128-( IF(B1138="suspended wood ",'Data Entry Sheet'!$D$32,'Data Entry Sheet'!$D$33)))</f>
        <v>0</v>
      </c>
      <c r="F1138" s="299" t="s">
        <v>10</v>
      </c>
      <c r="G1138" s="516"/>
      <c r="H1138" s="298"/>
    </row>
    <row r="1139" spans="1:8" ht="14.25" customHeight="1">
      <c r="A1139" s="290"/>
      <c r="B1139" s="289"/>
      <c r="C1139" s="516"/>
      <c r="D1139" s="307"/>
      <c r="E1139" s="307"/>
      <c r="F1139" s="299"/>
      <c r="G1139" s="516"/>
      <c r="H1139" s="298"/>
    </row>
    <row r="1140" spans="1:8" ht="14.25" customHeight="1">
      <c r="A1140" s="291" t="s">
        <v>555</v>
      </c>
      <c r="B1140" s="604" t="s">
        <v>972</v>
      </c>
      <c r="C1140" s="269"/>
      <c r="D1140" s="464">
        <f>VLOOKUP(B1140,$I$113:J1243,2,FALSE)</f>
        <v>1.5</v>
      </c>
      <c r="E1140" s="311">
        <f>(B1128-'Data Entry Sheet'!$D$32)*0.33*(B1137*B1129)*D1140</f>
        <v>0</v>
      </c>
      <c r="F1140" s="299" t="s">
        <v>10</v>
      </c>
      <c r="G1140" s="516"/>
      <c r="H1140" s="298"/>
    </row>
    <row r="1141" spans="1:8" ht="14.25" customHeight="1">
      <c r="A1141" s="268"/>
      <c r="B1141" s="289"/>
      <c r="C1141" s="289"/>
      <c r="D1141" s="289"/>
      <c r="E1141" s="289"/>
      <c r="F1141" s="301"/>
      <c r="G1141" s="421"/>
      <c r="H1141" s="264"/>
    </row>
    <row r="1142" spans="1:8" ht="14.25" customHeight="1">
      <c r="A1142" s="718" t="s">
        <v>554</v>
      </c>
      <c r="B1142" s="289"/>
      <c r="C1142" s="289"/>
      <c r="D1142" s="289"/>
      <c r="E1142" s="289"/>
      <c r="F1142" s="289"/>
      <c r="G1142" s="299"/>
      <c r="H1142" s="302"/>
    </row>
    <row r="1143" spans="1:8" ht="14.25" customHeight="1">
      <c r="A1143" s="718"/>
      <c r="C1143" s="289"/>
      <c r="E1143" s="421"/>
      <c r="F1143" s="421"/>
      <c r="G1143" s="421"/>
      <c r="H1143" s="298"/>
    </row>
    <row r="1144" spans="1:8" ht="14.25" customHeight="1">
      <c r="A1144" s="551" t="s">
        <v>751</v>
      </c>
      <c r="B1144" s="469" t="s">
        <v>993</v>
      </c>
      <c r="C1144" s="289"/>
      <c r="D1144" s="269" t="s">
        <v>1062</v>
      </c>
      <c r="E1144" s="289"/>
      <c r="F1144" s="289"/>
      <c r="G1144" s="421"/>
      <c r="H1144" s="298"/>
    </row>
    <row r="1145" spans="1:8" ht="14.25" customHeight="1">
      <c r="A1145" s="133" t="s">
        <v>1081</v>
      </c>
      <c r="B1145" s="133" t="s">
        <v>460</v>
      </c>
      <c r="C1145" s="289"/>
      <c r="D1145" s="133" t="s">
        <v>1063</v>
      </c>
      <c r="F1145" s="312">
        <f>+IF(A1145="UFH",G1131/344)+IF(A1145="radiators",0)</f>
        <v>0</v>
      </c>
      <c r="G1145" s="289" t="s">
        <v>527</v>
      </c>
      <c r="H1145" s="298"/>
    </row>
    <row r="1146" spans="1:8" ht="14.25" customHeight="1">
      <c r="C1146" s="289"/>
      <c r="D1146" s="289"/>
      <c r="E1146" s="289"/>
      <c r="F1146" s="289"/>
      <c r="G1146" s="421"/>
      <c r="H1146" s="298"/>
    </row>
    <row r="1147" spans="1:8" ht="14.25" customHeight="1">
      <c r="A1147" s="268"/>
      <c r="B1147" s="289"/>
      <c r="C1147" s="289"/>
      <c r="D1147" s="289"/>
      <c r="E1147" s="289"/>
      <c r="F1147" s="301"/>
      <c r="G1147" s="722" t="s">
        <v>553</v>
      </c>
      <c r="H1147" s="264"/>
    </row>
    <row r="1148" spans="1:8" ht="14.25" customHeight="1">
      <c r="A1148" s="468" t="s">
        <v>245</v>
      </c>
      <c r="B1148" s="469" t="s">
        <v>126</v>
      </c>
      <c r="C1148" s="289"/>
      <c r="D1148" s="469" t="s">
        <v>14</v>
      </c>
      <c r="E1148" s="469" t="s">
        <v>246</v>
      </c>
      <c r="F1148" s="469" t="s">
        <v>15</v>
      </c>
      <c r="G1148" s="723"/>
      <c r="H1148" s="298"/>
    </row>
    <row r="1149" spans="1:8" ht="14.25" customHeight="1">
      <c r="A1149" s="23">
        <v>600</v>
      </c>
      <c r="B1149" s="11">
        <v>1000</v>
      </c>
      <c r="C1149" s="289"/>
      <c r="D1149" s="11" t="s">
        <v>832</v>
      </c>
      <c r="E1149" s="312">
        <f>A1149*B1149*1.05*(+IF(D1149="SC_type11",0.000764)+IF(D1149="DC_type22",0.001421)+IF(D1149="DP+type21",0.001121))*('Data Entry Sheet'!$I$28/(B1128+30))</f>
        <v>471.88235294117646</v>
      </c>
      <c r="F1149" s="428" t="e">
        <f>+IF(A1145="Radiators",((E1149/G1131)-1),"UFH")</f>
        <v>#DIV/0!</v>
      </c>
      <c r="G1149" s="309" t="e">
        <f>IF(A1145="Radiators",(((-1*F1149)*(B1128-'Data Entry Sheet'!$D$32))+'Data Entry Sheet'!$D$32),-10)</f>
        <v>#DIV/0!</v>
      </c>
      <c r="H1149" s="303" t="s">
        <v>53</v>
      </c>
    </row>
    <row r="1150" spans="1:8" ht="14.25" customHeight="1">
      <c r="A1150" s="273"/>
      <c r="C1150" s="289"/>
      <c r="D1150" s="289"/>
      <c r="E1150" s="289"/>
      <c r="F1150" s="439" t="s">
        <v>199</v>
      </c>
      <c r="G1150" s="440" t="e">
        <f>B1128-#REF!</f>
        <v>#REF!</v>
      </c>
      <c r="H1150" s="298"/>
    </row>
    <row r="1151" spans="1:8" ht="14.25" customHeight="1">
      <c r="A1151" s="273" t="s">
        <v>552</v>
      </c>
      <c r="B1151" s="289"/>
      <c r="C1151" s="289"/>
      <c r="D1151" s="289"/>
      <c r="E1151" s="289"/>
      <c r="F1151" s="289"/>
      <c r="G1151" s="309">
        <f>'Data Entry Sheet'!$I$29*G1131</f>
        <v>0</v>
      </c>
      <c r="H1151" s="298" t="s">
        <v>10</v>
      </c>
    </row>
    <row r="1152" spans="1:8" ht="14.25" customHeight="1">
      <c r="A1152" s="273" t="s">
        <v>551</v>
      </c>
      <c r="B1152" s="289"/>
      <c r="C1152" s="289"/>
      <c r="D1152" s="308"/>
      <c r="E1152" s="289"/>
      <c r="F1152" s="289"/>
      <c r="G1152" s="422"/>
      <c r="H1152" s="298"/>
    </row>
    <row r="1153" spans="1:8" ht="14.25" customHeight="1">
      <c r="A1153" s="273"/>
      <c r="B1153" s="289"/>
      <c r="C1153" s="289"/>
      <c r="D1153" s="308"/>
      <c r="E1153" s="289"/>
      <c r="F1153" s="289"/>
      <c r="G1153" s="422"/>
      <c r="H1153" s="298"/>
    </row>
    <row r="1154" spans="1:8" ht="14.25" customHeight="1">
      <c r="A1154" s="468" t="s">
        <v>550</v>
      </c>
      <c r="B1154" s="469" t="s">
        <v>549</v>
      </c>
      <c r="C1154" s="469"/>
      <c r="D1154" s="469" t="s">
        <v>14</v>
      </c>
      <c r="E1154" s="469"/>
      <c r="F1154" s="469"/>
      <c r="G1154" s="470"/>
      <c r="H1154" s="471"/>
    </row>
    <row r="1155" spans="1:8" ht="14.25" customHeight="1">
      <c r="A1155" s="315">
        <f>A1149</f>
        <v>600</v>
      </c>
      <c r="B1155" s="316">
        <f>G1131/(A1149*0.001421)*(30/('Data Entry Sheet'!$I$28-B1128))</f>
        <v>0</v>
      </c>
      <c r="C1155" s="289"/>
      <c r="D1155" s="316" t="s">
        <v>548</v>
      </c>
      <c r="E1155" s="289"/>
      <c r="F1155" s="289"/>
      <c r="G1155" s="470"/>
      <c r="H1155" s="471"/>
    </row>
    <row r="1156" spans="1:8" ht="14.25" customHeight="1" thickBot="1">
      <c r="A1156" s="472"/>
      <c r="B1156" s="306"/>
      <c r="C1156" s="306"/>
      <c r="D1156" s="306"/>
      <c r="E1156" s="306"/>
      <c r="F1156" s="306"/>
      <c r="G1156" s="423"/>
      <c r="H1156" s="304"/>
    </row>
    <row r="1157" spans="1:8" ht="14.25" customHeight="1" thickBot="1"/>
    <row r="1158" spans="1:8" ht="14.25" customHeight="1">
      <c r="A1158" s="719" t="s">
        <v>70</v>
      </c>
      <c r="B1158" s="292"/>
      <c r="C1158" s="293"/>
      <c r="D1158" s="293"/>
      <c r="E1158" s="293"/>
      <c r="F1158" s="294"/>
      <c r="G1158" s="419"/>
      <c r="H1158" s="295"/>
    </row>
    <row r="1159" spans="1:8" ht="14.25" customHeight="1">
      <c r="A1159" s="720"/>
      <c r="B1159" s="13" t="s">
        <v>1037</v>
      </c>
      <c r="C1159" s="269"/>
      <c r="D1159" s="299"/>
      <c r="E1159" s="269"/>
      <c r="F1159" s="269"/>
      <c r="G1159" s="516"/>
      <c r="H1159" s="264"/>
    </row>
    <row r="1160" spans="1:8" ht="14.25" customHeight="1">
      <c r="A1160" s="273" t="s">
        <v>568</v>
      </c>
      <c r="B1160" s="14">
        <v>21</v>
      </c>
      <c r="C1160" s="397"/>
      <c r="D1160" s="516" t="s">
        <v>567</v>
      </c>
      <c r="E1160" s="516" t="s">
        <v>9</v>
      </c>
      <c r="F1160" s="296"/>
      <c r="G1160" s="297" t="s">
        <v>566</v>
      </c>
      <c r="H1160" s="298"/>
    </row>
    <row r="1161" spans="1:8" ht="14.25" customHeight="1">
      <c r="A1161" s="273" t="s">
        <v>565</v>
      </c>
      <c r="B1161" s="14">
        <v>2.4</v>
      </c>
      <c r="C1161" s="397"/>
      <c r="D1161" s="269"/>
      <c r="E1161" s="516"/>
      <c r="F1161" s="296"/>
      <c r="G1161" s="516"/>
      <c r="H1161" s="298"/>
    </row>
    <row r="1162" spans="1:8" ht="14.25" customHeight="1">
      <c r="A1162" s="273" t="s">
        <v>564</v>
      </c>
      <c r="B1162" s="15">
        <v>0</v>
      </c>
      <c r="C1162" s="397"/>
      <c r="D1162" s="269"/>
      <c r="E1162" s="269"/>
      <c r="F1162" s="296"/>
      <c r="G1162" s="516"/>
      <c r="H1162" s="298"/>
    </row>
    <row r="1163" spans="1:8" ht="14.25" customHeight="1">
      <c r="A1163" s="272" t="s">
        <v>563</v>
      </c>
      <c r="B1163" s="604" t="s">
        <v>1064</v>
      </c>
      <c r="C1163" s="269"/>
      <c r="D1163" s="464">
        <f>VLOOKUP(B1163,$I$23:$J$49,2,FALSE)</f>
        <v>2.11</v>
      </c>
      <c r="E1163" s="311">
        <f>(((B1161)*B1162)-B1164)*(D1163+0.15)*(B1160-'Data Entry Sheet'!$D$32)</f>
        <v>0</v>
      </c>
      <c r="F1163" s="299" t="s">
        <v>10</v>
      </c>
      <c r="G1163" s="309">
        <f>SUM(E1163:E1172)*((B1161+81)/83.6)</f>
        <v>0</v>
      </c>
      <c r="H1163" s="264"/>
    </row>
    <row r="1164" spans="1:8" ht="14.25" customHeight="1" thickBot="1">
      <c r="A1164" s="290" t="s">
        <v>562</v>
      </c>
      <c r="B1164" s="15">
        <v>0</v>
      </c>
      <c r="C1164" s="269"/>
      <c r="D1164" s="397"/>
      <c r="E1164" s="289"/>
      <c r="F1164" s="299"/>
      <c r="G1164" s="297" t="s">
        <v>243</v>
      </c>
      <c r="H1164" s="298"/>
    </row>
    <row r="1165" spans="1:8" ht="14.25" customHeight="1" thickBot="1">
      <c r="A1165" s="290" t="s">
        <v>561</v>
      </c>
      <c r="B1165" s="604" t="s">
        <v>1064</v>
      </c>
      <c r="C1165" s="269"/>
      <c r="D1165" s="464">
        <f>VLOOKUP(B1165,$I$4:$J$16,2,FALSE)</f>
        <v>2.8</v>
      </c>
      <c r="E1165" s="311">
        <f>B1164*(D1165+0.15)*(B1160-'Data Entry Sheet'!$D$32)</f>
        <v>0</v>
      </c>
      <c r="F1165" s="299" t="s">
        <v>10</v>
      </c>
      <c r="G1165" s="420" t="e">
        <f>G1163/B1169</f>
        <v>#DIV/0!</v>
      </c>
      <c r="H1165" s="264"/>
    </row>
    <row r="1166" spans="1:8" ht="14.25" customHeight="1">
      <c r="A1166" s="290" t="s">
        <v>560</v>
      </c>
      <c r="B1166" s="604">
        <v>0</v>
      </c>
      <c r="C1166" s="397"/>
      <c r="D1166" s="516"/>
      <c r="E1166" s="305"/>
      <c r="F1166" s="299"/>
      <c r="G1166" s="470" t="s">
        <v>127</v>
      </c>
      <c r="H1166" s="298"/>
    </row>
    <row r="1167" spans="1:8" ht="14.25" customHeight="1">
      <c r="A1167" s="290" t="s">
        <v>559</v>
      </c>
      <c r="B1167" s="604">
        <v>0</v>
      </c>
      <c r="C1167" s="397"/>
      <c r="D1167" s="516"/>
      <c r="E1167" s="305"/>
      <c r="F1167" s="299"/>
      <c r="G1167" s="309">
        <f>+IF(A1177="UFH",(G1163*0.71/85),((+IF(D1181="dp+type21",14.5)+IF(D1181="SC_type11",7.3)+IF(D1181="SC",7)+IF(D1181="DC_type22",14.5))*(A1181*B1181))/1000000)</f>
        <v>4.38</v>
      </c>
      <c r="H1167" s="298" t="s">
        <v>244</v>
      </c>
    </row>
    <row r="1168" spans="1:8" ht="14.25" customHeight="1">
      <c r="A1168" s="290" t="s">
        <v>558</v>
      </c>
      <c r="B1168" s="604" t="s">
        <v>1064</v>
      </c>
      <c r="C1168" s="269"/>
      <c r="D1168" s="464">
        <f>VLOOKUP(B1168,$I$81:$J$100,2,FALSE)</f>
        <v>0.2</v>
      </c>
      <c r="E1168" s="311">
        <f>((B1166-B1167)*(D1168+0.15)*(B1160-'Data Entry Sheet'!D1184))+(B1167*(B1160-'Data Entry Sheet'!$D$32)*2.8)</f>
        <v>0</v>
      </c>
      <c r="F1168" s="299" t="s">
        <v>10</v>
      </c>
      <c r="G1168" s="516"/>
      <c r="H1168" s="298"/>
    </row>
    <row r="1169" spans="1:8" ht="14.25" customHeight="1">
      <c r="A1169" s="290" t="s">
        <v>557</v>
      </c>
      <c r="B1169" s="604">
        <v>0</v>
      </c>
      <c r="C1169" s="397"/>
      <c r="D1169" s="305"/>
      <c r="E1169" s="305"/>
      <c r="F1169" s="300"/>
      <c r="G1169" s="516"/>
      <c r="H1169" s="298"/>
    </row>
    <row r="1170" spans="1:8" ht="14.25" customHeight="1">
      <c r="A1170" s="290" t="s">
        <v>556</v>
      </c>
      <c r="B1170" s="604" t="s">
        <v>1064</v>
      </c>
      <c r="C1170" s="269"/>
      <c r="D1170" s="464">
        <f>VLOOKUP(B1170,$I$54:$J$75,2,FALSE)</f>
        <v>1</v>
      </c>
      <c r="E1170" s="311">
        <f>B1169*(D1170+0.15)*(B1160-( IF(B1170="suspended wood ",'Data Entry Sheet'!$D$32,'Data Entry Sheet'!$D$33)))</f>
        <v>0</v>
      </c>
      <c r="F1170" s="299" t="s">
        <v>10</v>
      </c>
      <c r="G1170" s="516"/>
      <c r="H1170" s="298"/>
    </row>
    <row r="1171" spans="1:8" ht="14.25" customHeight="1">
      <c r="A1171" s="290"/>
      <c r="B1171" s="289"/>
      <c r="C1171" s="516"/>
      <c r="D1171" s="307"/>
      <c r="E1171" s="307"/>
      <c r="F1171" s="299"/>
      <c r="G1171" s="516"/>
      <c r="H1171" s="298"/>
    </row>
    <row r="1172" spans="1:8" ht="14.25" customHeight="1">
      <c r="A1172" s="291" t="s">
        <v>555</v>
      </c>
      <c r="B1172" s="604" t="s">
        <v>972</v>
      </c>
      <c r="C1172" s="269"/>
      <c r="D1172" s="464">
        <f>VLOOKUP(B1172,$I$113:J1275,2,FALSE)</f>
        <v>1.5</v>
      </c>
      <c r="E1172" s="311">
        <f>(B1160-'Data Entry Sheet'!$D$32)*0.33*(B1169*B1161)*D1172</f>
        <v>0</v>
      </c>
      <c r="F1172" s="299" t="s">
        <v>10</v>
      </c>
      <c r="G1172" s="516"/>
      <c r="H1172" s="298"/>
    </row>
    <row r="1173" spans="1:8" ht="14.25" customHeight="1">
      <c r="A1173" s="268"/>
      <c r="B1173" s="289"/>
      <c r="C1173" s="289"/>
      <c r="D1173" s="289"/>
      <c r="E1173" s="289"/>
      <c r="F1173" s="301"/>
      <c r="G1173" s="421"/>
      <c r="H1173" s="264"/>
    </row>
    <row r="1174" spans="1:8" ht="14.25" customHeight="1">
      <c r="A1174" s="718" t="s">
        <v>554</v>
      </c>
      <c r="B1174" s="289"/>
      <c r="C1174" s="289"/>
      <c r="D1174" s="289"/>
      <c r="E1174" s="289"/>
      <c r="F1174" s="289"/>
      <c r="G1174" s="299"/>
      <c r="H1174" s="302"/>
    </row>
    <row r="1175" spans="1:8" ht="14.25" customHeight="1">
      <c r="A1175" s="718"/>
      <c r="C1175" s="289"/>
      <c r="D1175" s="289"/>
      <c r="E1175" s="421"/>
      <c r="F1175" s="421"/>
      <c r="G1175" s="421"/>
      <c r="H1175" s="298"/>
    </row>
    <row r="1176" spans="1:8" ht="14.25" customHeight="1">
      <c r="A1176" s="551" t="s">
        <v>751</v>
      </c>
      <c r="B1176" s="469" t="s">
        <v>993</v>
      </c>
      <c r="C1176" s="289"/>
      <c r="D1176" s="269" t="s">
        <v>1062</v>
      </c>
      <c r="E1176" s="289"/>
      <c r="F1176" s="289"/>
      <c r="G1176" s="421"/>
      <c r="H1176" s="298"/>
    </row>
    <row r="1177" spans="1:8" ht="14.25" customHeight="1">
      <c r="A1177" s="133" t="s">
        <v>1081</v>
      </c>
      <c r="B1177" s="133" t="s">
        <v>460</v>
      </c>
      <c r="C1177" s="289"/>
      <c r="D1177" s="133" t="s">
        <v>1063</v>
      </c>
      <c r="F1177" s="312">
        <f>+IF(A1177="UFH",G1163/344)+IF(A1177="radiators",0)</f>
        <v>0</v>
      </c>
      <c r="G1177" s="289" t="s">
        <v>527</v>
      </c>
      <c r="H1177" s="298"/>
    </row>
    <row r="1178" spans="1:8" ht="14.25" customHeight="1">
      <c r="C1178" s="289"/>
      <c r="D1178" s="289"/>
      <c r="E1178" s="289"/>
      <c r="F1178" s="289"/>
      <c r="G1178" s="421"/>
      <c r="H1178" s="298"/>
    </row>
    <row r="1179" spans="1:8" ht="14.25" customHeight="1">
      <c r="A1179" s="268"/>
      <c r="B1179" s="289"/>
      <c r="C1179" s="289"/>
      <c r="D1179" s="289"/>
      <c r="E1179" s="289"/>
      <c r="F1179" s="301"/>
      <c r="G1179" s="722" t="s">
        <v>553</v>
      </c>
      <c r="H1179" s="264"/>
    </row>
    <row r="1180" spans="1:8" ht="14.25" customHeight="1">
      <c r="A1180" s="468" t="s">
        <v>245</v>
      </c>
      <c r="B1180" s="469" t="s">
        <v>126</v>
      </c>
      <c r="C1180" s="289"/>
      <c r="D1180" s="469" t="s">
        <v>14</v>
      </c>
      <c r="E1180" s="469" t="s">
        <v>246</v>
      </c>
      <c r="F1180" s="469" t="s">
        <v>15</v>
      </c>
      <c r="G1180" s="723"/>
      <c r="H1180" s="298"/>
    </row>
    <row r="1181" spans="1:8" ht="14.25" customHeight="1">
      <c r="A1181" s="23">
        <v>600</v>
      </c>
      <c r="B1181" s="11">
        <v>1000</v>
      </c>
      <c r="C1181" s="289"/>
      <c r="D1181" s="11" t="s">
        <v>832</v>
      </c>
      <c r="E1181" s="312">
        <f>A1181*B1181*1.05*(+IF(D1181="SC_type11",0.000764)+IF(D1181="DC_type22",0.001421)+IF(D1181="DP+type21",0.001121))*('Data Entry Sheet'!$I$28/(B1160+30))</f>
        <v>471.88235294117646</v>
      </c>
      <c r="F1181" s="428" t="e">
        <f>+IF(A1177="Radiators",((E1181/G1163)-1),"UFH")</f>
        <v>#DIV/0!</v>
      </c>
      <c r="G1181" s="309" t="e">
        <f>IF(A1177="Radiators",(((-1*F1181)*(B1160-'Data Entry Sheet'!$D$32))+'Data Entry Sheet'!$D$32),-10)</f>
        <v>#DIV/0!</v>
      </c>
      <c r="H1181" s="303" t="s">
        <v>53</v>
      </c>
    </row>
    <row r="1182" spans="1:8" ht="14.25" customHeight="1">
      <c r="A1182" s="273"/>
      <c r="C1182" s="289"/>
      <c r="D1182" s="289"/>
      <c r="E1182" s="289"/>
      <c r="F1182" s="439" t="s">
        <v>199</v>
      </c>
      <c r="G1182" s="440" t="e">
        <f>B1160-#REF!</f>
        <v>#REF!</v>
      </c>
      <c r="H1182" s="298"/>
    </row>
    <row r="1183" spans="1:8" ht="14.25" customHeight="1">
      <c r="A1183" s="273" t="s">
        <v>552</v>
      </c>
      <c r="B1183" s="289"/>
      <c r="C1183" s="289"/>
      <c r="D1183" s="289"/>
      <c r="E1183" s="289"/>
      <c r="F1183" s="289"/>
      <c r="G1183" s="309">
        <f>'Data Entry Sheet'!$I$29*G1163</f>
        <v>0</v>
      </c>
      <c r="H1183" s="298" t="s">
        <v>10</v>
      </c>
    </row>
    <row r="1184" spans="1:8" ht="14.25" customHeight="1">
      <c r="A1184" s="273" t="s">
        <v>551</v>
      </c>
      <c r="B1184" s="289"/>
      <c r="C1184" s="289"/>
      <c r="D1184" s="308"/>
      <c r="E1184" s="289"/>
      <c r="F1184" s="289"/>
      <c r="G1184" s="422"/>
      <c r="H1184" s="298"/>
    </row>
    <row r="1185" spans="1:8" ht="14.25" customHeight="1">
      <c r="A1185" s="273"/>
      <c r="B1185" s="289"/>
      <c r="C1185" s="289"/>
      <c r="D1185" s="308"/>
      <c r="E1185" s="289"/>
      <c r="F1185" s="289"/>
      <c r="G1185" s="422"/>
      <c r="H1185" s="298"/>
    </row>
    <row r="1186" spans="1:8" ht="14.25" customHeight="1">
      <c r="A1186" s="468" t="s">
        <v>550</v>
      </c>
      <c r="B1186" s="469" t="s">
        <v>549</v>
      </c>
      <c r="C1186" s="469"/>
      <c r="D1186" s="469" t="s">
        <v>14</v>
      </c>
      <c r="E1186" s="469"/>
      <c r="F1186" s="469"/>
      <c r="G1186" s="470"/>
      <c r="H1186" s="471"/>
    </row>
    <row r="1187" spans="1:8" ht="14.25" customHeight="1">
      <c r="A1187" s="315">
        <f>A1181</f>
        <v>600</v>
      </c>
      <c r="B1187" s="316">
        <f>G1163/(A1181*0.001421)*(30/('Data Entry Sheet'!$I$28-B1160))</f>
        <v>0</v>
      </c>
      <c r="C1187" s="289"/>
      <c r="D1187" s="316" t="s">
        <v>548</v>
      </c>
      <c r="E1187" s="289"/>
      <c r="F1187" s="289"/>
      <c r="G1187" s="470"/>
      <c r="H1187" s="471"/>
    </row>
    <row r="1188" spans="1:8" ht="14.25" customHeight="1" thickBot="1">
      <c r="A1188" s="472"/>
      <c r="B1188" s="306"/>
      <c r="C1188" s="306"/>
      <c r="D1188" s="306"/>
      <c r="E1188" s="306"/>
      <c r="F1188" s="306"/>
      <c r="G1188" s="423"/>
      <c r="H1188" s="304"/>
    </row>
    <row r="1189" spans="1:8" ht="14.25" customHeight="1" thickBot="1"/>
    <row r="1190" spans="1:8" ht="14.25" customHeight="1">
      <c r="A1190" s="719" t="s">
        <v>70</v>
      </c>
      <c r="B1190" s="292"/>
      <c r="C1190" s="293"/>
      <c r="D1190" s="293"/>
      <c r="E1190" s="293"/>
      <c r="F1190" s="294"/>
      <c r="G1190" s="419"/>
      <c r="H1190" s="295"/>
    </row>
    <row r="1191" spans="1:8" ht="14.25" customHeight="1">
      <c r="A1191" s="720"/>
      <c r="B1191" s="13" t="s">
        <v>1038</v>
      </c>
      <c r="C1191" s="269"/>
      <c r="D1191" s="299"/>
      <c r="E1191" s="269"/>
      <c r="F1191" s="269"/>
      <c r="G1191" s="516"/>
      <c r="H1191" s="264"/>
    </row>
    <row r="1192" spans="1:8" ht="14.25" customHeight="1">
      <c r="A1192" s="273" t="s">
        <v>568</v>
      </c>
      <c r="B1192" s="14">
        <v>21</v>
      </c>
      <c r="C1192" s="397"/>
      <c r="D1192" s="516" t="s">
        <v>567</v>
      </c>
      <c r="E1192" s="516" t="s">
        <v>9</v>
      </c>
      <c r="F1192" s="296"/>
      <c r="G1192" s="297" t="s">
        <v>566</v>
      </c>
      <c r="H1192" s="298"/>
    </row>
    <row r="1193" spans="1:8" ht="14.25" customHeight="1">
      <c r="A1193" s="273" t="s">
        <v>565</v>
      </c>
      <c r="B1193" s="14">
        <v>2.4</v>
      </c>
      <c r="C1193" s="397"/>
      <c r="D1193" s="269"/>
      <c r="E1193" s="516"/>
      <c r="F1193" s="296"/>
      <c r="G1193" s="516"/>
      <c r="H1193" s="298"/>
    </row>
    <row r="1194" spans="1:8" ht="14.25" customHeight="1">
      <c r="A1194" s="273" t="s">
        <v>564</v>
      </c>
      <c r="B1194" s="15">
        <v>0</v>
      </c>
      <c r="C1194" s="397"/>
      <c r="D1194" s="269"/>
      <c r="E1194" s="269"/>
      <c r="F1194" s="296"/>
      <c r="G1194" s="516"/>
      <c r="H1194" s="298"/>
    </row>
    <row r="1195" spans="1:8" ht="14.25" customHeight="1">
      <c r="A1195" s="272" t="s">
        <v>563</v>
      </c>
      <c r="B1195" s="604" t="s">
        <v>1064</v>
      </c>
      <c r="C1195" s="269"/>
      <c r="D1195" s="464">
        <f>VLOOKUP(B1195,$I$23:$J$49,2,FALSE)</f>
        <v>2.11</v>
      </c>
      <c r="E1195" s="311">
        <f>(((B1193)*B1194)-B1196)*(D1195+0.15)*(B1192-'Data Entry Sheet'!$D$32)</f>
        <v>0</v>
      </c>
      <c r="F1195" s="299" t="s">
        <v>10</v>
      </c>
      <c r="G1195" s="309">
        <f>SUM(E1195:E1204)*((B1193+81)/83.6)</f>
        <v>0</v>
      </c>
      <c r="H1195" s="264"/>
    </row>
    <row r="1196" spans="1:8" ht="14.25" customHeight="1" thickBot="1">
      <c r="A1196" s="290" t="s">
        <v>562</v>
      </c>
      <c r="B1196" s="15">
        <v>0</v>
      </c>
      <c r="C1196" s="269"/>
      <c r="D1196" s="397"/>
      <c r="E1196" s="289"/>
      <c r="F1196" s="299"/>
      <c r="G1196" s="297" t="s">
        <v>243</v>
      </c>
      <c r="H1196" s="298"/>
    </row>
    <row r="1197" spans="1:8" ht="14.25" customHeight="1" thickBot="1">
      <c r="A1197" s="290" t="s">
        <v>561</v>
      </c>
      <c r="B1197" s="604" t="s">
        <v>1064</v>
      </c>
      <c r="C1197" s="269"/>
      <c r="D1197" s="464">
        <f>VLOOKUP(B1197,$I$4:$J$16,2,FALSE)</f>
        <v>2.8</v>
      </c>
      <c r="E1197" s="311">
        <f>B1196*(D1197+0.15)*(B1192-'Data Entry Sheet'!$D$32)</f>
        <v>0</v>
      </c>
      <c r="F1197" s="299" t="s">
        <v>10</v>
      </c>
      <c r="G1197" s="420" t="e">
        <f>G1195/B1201</f>
        <v>#DIV/0!</v>
      </c>
      <c r="H1197" s="264"/>
    </row>
    <row r="1198" spans="1:8" ht="14.25" customHeight="1">
      <c r="A1198" s="290" t="s">
        <v>560</v>
      </c>
      <c r="B1198" s="604">
        <v>0</v>
      </c>
      <c r="C1198" s="397"/>
      <c r="D1198" s="516"/>
      <c r="E1198" s="305"/>
      <c r="F1198" s="299"/>
      <c r="G1198" s="470" t="s">
        <v>127</v>
      </c>
      <c r="H1198" s="298"/>
    </row>
    <row r="1199" spans="1:8" ht="14.25" customHeight="1">
      <c r="A1199" s="290" t="s">
        <v>559</v>
      </c>
      <c r="B1199" s="604">
        <v>0</v>
      </c>
      <c r="C1199" s="397"/>
      <c r="D1199" s="516"/>
      <c r="E1199" s="305"/>
      <c r="F1199" s="299"/>
      <c r="G1199" s="309">
        <f>+IF(A1209="UFH",(G1195*0.71/85),((+IF(D1213="dp+type21",14.5)+IF(D1213="SC_type11",7.3)+IF(D1213="SC",7)+IF(D1213="DC_type22",14.5))*(A1213*B1213))/1000000)</f>
        <v>4.38</v>
      </c>
      <c r="H1199" s="298" t="s">
        <v>244</v>
      </c>
    </row>
    <row r="1200" spans="1:8" ht="14.25" customHeight="1">
      <c r="A1200" s="290" t="s">
        <v>558</v>
      </c>
      <c r="B1200" s="604" t="s">
        <v>1064</v>
      </c>
      <c r="C1200" s="269"/>
      <c r="D1200" s="464">
        <f>VLOOKUP(B1200,$I$81:$J$100,2,FALSE)</f>
        <v>0.2</v>
      </c>
      <c r="E1200" s="311">
        <f>((B1198-B1199)*(D1200+0.15)*(B1192-'Data Entry Sheet'!D1216))+(B1199*(B1192-'Data Entry Sheet'!$D$32)*2.8)</f>
        <v>0</v>
      </c>
      <c r="F1200" s="299" t="s">
        <v>10</v>
      </c>
      <c r="G1200" s="516"/>
      <c r="H1200" s="298"/>
    </row>
    <row r="1201" spans="1:8" ht="14.25" customHeight="1">
      <c r="A1201" s="290" t="s">
        <v>557</v>
      </c>
      <c r="B1201" s="604">
        <v>0</v>
      </c>
      <c r="C1201" s="397"/>
      <c r="D1201" s="305"/>
      <c r="E1201" s="305"/>
      <c r="F1201" s="300"/>
      <c r="G1201" s="516"/>
      <c r="H1201" s="298"/>
    </row>
    <row r="1202" spans="1:8" ht="14.25" customHeight="1">
      <c r="A1202" s="290" t="s">
        <v>556</v>
      </c>
      <c r="B1202" s="604" t="s">
        <v>1064</v>
      </c>
      <c r="C1202" s="269"/>
      <c r="D1202" s="464">
        <f>VLOOKUP(B1202,$I$54:$J$75,2,FALSE)</f>
        <v>1</v>
      </c>
      <c r="E1202" s="311">
        <f>B1201*(D1202+0.15)*(B1192-( IF(B1202="suspended wood ",'Data Entry Sheet'!$D$32,'Data Entry Sheet'!$D$33)))</f>
        <v>0</v>
      </c>
      <c r="F1202" s="299" t="s">
        <v>10</v>
      </c>
      <c r="G1202" s="516"/>
      <c r="H1202" s="298"/>
    </row>
    <row r="1203" spans="1:8" ht="14.25" customHeight="1">
      <c r="A1203" s="290"/>
      <c r="B1203" s="289"/>
      <c r="C1203" s="516"/>
      <c r="D1203" s="307"/>
      <c r="E1203" s="307"/>
      <c r="F1203" s="299"/>
      <c r="G1203" s="516"/>
      <c r="H1203" s="298"/>
    </row>
    <row r="1204" spans="1:8" ht="14.25" customHeight="1">
      <c r="A1204" s="291" t="s">
        <v>555</v>
      </c>
      <c r="B1204" s="604" t="s">
        <v>972</v>
      </c>
      <c r="C1204" s="269"/>
      <c r="D1204" s="464">
        <f>VLOOKUP(B1204,$I$113:J1307,2,FALSE)</f>
        <v>1.5</v>
      </c>
      <c r="E1204" s="311">
        <f>(B1192-'Data Entry Sheet'!$D$32)*0.33*(B1201*B1193)*D1204</f>
        <v>0</v>
      </c>
      <c r="F1204" s="299" t="s">
        <v>10</v>
      </c>
      <c r="G1204" s="516"/>
      <c r="H1204" s="298"/>
    </row>
    <row r="1205" spans="1:8" ht="14.25" customHeight="1">
      <c r="A1205" s="268"/>
      <c r="B1205" s="289"/>
      <c r="C1205" s="289"/>
      <c r="D1205" s="289"/>
      <c r="E1205" s="289"/>
      <c r="F1205" s="301"/>
      <c r="G1205" s="421"/>
      <c r="H1205" s="264"/>
    </row>
    <row r="1206" spans="1:8" ht="14.25" customHeight="1">
      <c r="A1206" s="718" t="s">
        <v>554</v>
      </c>
      <c r="B1206" s="289"/>
      <c r="C1206" s="289"/>
      <c r="D1206" s="289"/>
      <c r="E1206" s="289"/>
      <c r="F1206" s="289"/>
      <c r="G1206" s="299"/>
      <c r="H1206" s="302"/>
    </row>
    <row r="1207" spans="1:8" ht="14.25" customHeight="1">
      <c r="A1207" s="718"/>
      <c r="C1207" s="289"/>
      <c r="D1207" s="289"/>
      <c r="E1207" s="421"/>
      <c r="F1207" s="421"/>
      <c r="G1207" s="421"/>
      <c r="H1207" s="298"/>
    </row>
    <row r="1208" spans="1:8" ht="14.25" customHeight="1">
      <c r="A1208" s="551" t="s">
        <v>751</v>
      </c>
      <c r="B1208" s="469" t="s">
        <v>993</v>
      </c>
      <c r="C1208" s="289"/>
      <c r="D1208" s="269" t="s">
        <v>1062</v>
      </c>
      <c r="E1208" s="289"/>
      <c r="F1208" s="289"/>
      <c r="G1208" s="421"/>
      <c r="H1208" s="298"/>
    </row>
    <row r="1209" spans="1:8" ht="14.25" customHeight="1">
      <c r="A1209" s="133" t="s">
        <v>1081</v>
      </c>
      <c r="B1209" s="133" t="s">
        <v>460</v>
      </c>
      <c r="C1209" s="289"/>
      <c r="D1209" s="133" t="s">
        <v>1063</v>
      </c>
      <c r="F1209" s="312">
        <f>+IF(A1209="UFH",G1195/344)+IF(A1209="radiators",0)</f>
        <v>0</v>
      </c>
      <c r="G1209" s="289" t="s">
        <v>527</v>
      </c>
      <c r="H1209" s="298"/>
    </row>
    <row r="1210" spans="1:8" ht="14.25" customHeight="1">
      <c r="C1210" s="289"/>
      <c r="D1210" s="289"/>
      <c r="E1210" s="289"/>
      <c r="F1210" s="289"/>
      <c r="G1210" s="421"/>
      <c r="H1210" s="298"/>
    </row>
    <row r="1211" spans="1:8" ht="14.25" customHeight="1">
      <c r="A1211" s="268"/>
      <c r="B1211" s="289"/>
      <c r="C1211" s="289"/>
      <c r="D1211" s="289"/>
      <c r="E1211" s="289"/>
      <c r="F1211" s="301"/>
      <c r="G1211" s="722" t="s">
        <v>553</v>
      </c>
      <c r="H1211" s="264"/>
    </row>
    <row r="1212" spans="1:8" ht="14.25" customHeight="1">
      <c r="A1212" s="468" t="s">
        <v>245</v>
      </c>
      <c r="B1212" s="469" t="s">
        <v>126</v>
      </c>
      <c r="C1212" s="289"/>
      <c r="D1212" s="469" t="s">
        <v>14</v>
      </c>
      <c r="E1212" s="469" t="s">
        <v>246</v>
      </c>
      <c r="F1212" s="469" t="s">
        <v>15</v>
      </c>
      <c r="G1212" s="723"/>
      <c r="H1212" s="298"/>
    </row>
    <row r="1213" spans="1:8" ht="14.25" customHeight="1">
      <c r="A1213" s="23">
        <v>600</v>
      </c>
      <c r="B1213" s="11">
        <v>1000</v>
      </c>
      <c r="C1213" s="289"/>
      <c r="D1213" s="11" t="s">
        <v>832</v>
      </c>
      <c r="E1213" s="312">
        <f>A1213*B1213*1.05*(+IF(D1213="SC_type11",0.000764)+IF(D1213="DC_type22",0.001421)+IF(D1213="DP+type21",0.001121))*('Data Entry Sheet'!$I$28/(B1192+30))</f>
        <v>471.88235294117646</v>
      </c>
      <c r="F1213" s="428" t="e">
        <f>+IF(A1209="Radiators",((E1213/G1195)-1),"UFH")</f>
        <v>#DIV/0!</v>
      </c>
      <c r="G1213" s="309" t="e">
        <f>IF(A1209="Radiators",(((-1*F1213)*(B1192-'Data Entry Sheet'!$D$32))+'Data Entry Sheet'!$D$32),-10)</f>
        <v>#DIV/0!</v>
      </c>
      <c r="H1213" s="303" t="s">
        <v>53</v>
      </c>
    </row>
    <row r="1214" spans="1:8" ht="14.25" customHeight="1">
      <c r="A1214" s="273"/>
      <c r="C1214" s="289"/>
      <c r="D1214" s="289"/>
      <c r="E1214" s="289"/>
      <c r="F1214" s="439" t="s">
        <v>199</v>
      </c>
      <c r="G1214" s="440" t="e">
        <f>B1192-#REF!</f>
        <v>#REF!</v>
      </c>
      <c r="H1214" s="298"/>
    </row>
    <row r="1215" spans="1:8" ht="14.25" customHeight="1">
      <c r="A1215" s="273" t="s">
        <v>552</v>
      </c>
      <c r="B1215" s="289"/>
      <c r="C1215" s="289"/>
      <c r="D1215" s="289"/>
      <c r="E1215" s="289"/>
      <c r="F1215" s="289"/>
      <c r="G1215" s="309">
        <f>'Data Entry Sheet'!$I$29*G1195</f>
        <v>0</v>
      </c>
      <c r="H1215" s="298" t="s">
        <v>10</v>
      </c>
    </row>
    <row r="1216" spans="1:8" ht="14.25" customHeight="1">
      <c r="A1216" s="273" t="s">
        <v>551</v>
      </c>
      <c r="B1216" s="289"/>
      <c r="C1216" s="289"/>
      <c r="D1216" s="308"/>
      <c r="E1216" s="289"/>
      <c r="F1216" s="289"/>
      <c r="G1216" s="422"/>
      <c r="H1216" s="298"/>
    </row>
    <row r="1217" spans="1:8" ht="14.25" customHeight="1">
      <c r="A1217" s="273"/>
      <c r="B1217" s="289"/>
      <c r="C1217" s="289"/>
      <c r="D1217" s="308"/>
      <c r="E1217" s="289"/>
      <c r="F1217" s="289"/>
      <c r="G1217" s="422"/>
      <c r="H1217" s="298"/>
    </row>
    <row r="1218" spans="1:8" ht="14.25" customHeight="1">
      <c r="A1218" s="468" t="s">
        <v>550</v>
      </c>
      <c r="B1218" s="469" t="s">
        <v>549</v>
      </c>
      <c r="C1218" s="469"/>
      <c r="D1218" s="469" t="s">
        <v>14</v>
      </c>
      <c r="E1218" s="469"/>
      <c r="F1218" s="469"/>
      <c r="G1218" s="470"/>
      <c r="H1218" s="471"/>
    </row>
    <row r="1219" spans="1:8" ht="14.25" customHeight="1">
      <c r="A1219" s="315">
        <f>A1213</f>
        <v>600</v>
      </c>
      <c r="B1219" s="316">
        <f>G1195/(A1213*0.001421)*(30/('Data Entry Sheet'!$I$28-B1192))</f>
        <v>0</v>
      </c>
      <c r="C1219" s="289"/>
      <c r="D1219" s="316" t="s">
        <v>548</v>
      </c>
      <c r="E1219" s="289"/>
      <c r="F1219" s="289"/>
      <c r="G1219" s="470"/>
      <c r="H1219" s="471"/>
    </row>
    <row r="1220" spans="1:8" ht="14.25" customHeight="1" thickBot="1">
      <c r="A1220" s="472"/>
      <c r="B1220" s="306"/>
      <c r="C1220" s="306"/>
      <c r="D1220" s="306"/>
      <c r="E1220" s="306"/>
      <c r="F1220" s="306"/>
      <c r="G1220" s="423"/>
      <c r="H1220" s="304"/>
    </row>
  </sheetData>
  <sheetProtection algorithmName="SHA-512" hashValue="YFhexo9PwwZ8GHOcTqduJJZAsgid0TFOqWKHdlRmnZY+3MH7OTBvR1WPmeA6HwrTH7eFhnm2HEUM2uBpVE1Kpg==" saltValue="W8urhLHIXl+mzvaCFgHfEg==" spinCount="100000" sheet="1" objects="1" scenarios="1"/>
  <mergeCells count="113">
    <mergeCell ref="G91:G92"/>
    <mergeCell ref="G27:G28"/>
    <mergeCell ref="G251:G252"/>
    <mergeCell ref="G219:G220"/>
    <mergeCell ref="G187:G188"/>
    <mergeCell ref="G155:G156"/>
    <mergeCell ref="G123:G124"/>
    <mergeCell ref="G411:G412"/>
    <mergeCell ref="G379:G380"/>
    <mergeCell ref="G347:G348"/>
    <mergeCell ref="G315:G316"/>
    <mergeCell ref="G283:G284"/>
    <mergeCell ref="G571:G572"/>
    <mergeCell ref="G539:G540"/>
    <mergeCell ref="G507:G508"/>
    <mergeCell ref="G475:G476"/>
    <mergeCell ref="G443:G444"/>
    <mergeCell ref="G731:G732"/>
    <mergeCell ref="G699:G700"/>
    <mergeCell ref="G667:G668"/>
    <mergeCell ref="G635:G636"/>
    <mergeCell ref="G603:G604"/>
    <mergeCell ref="G1147:G1148"/>
    <mergeCell ref="G1179:G1180"/>
    <mergeCell ref="G1211:G1212"/>
    <mergeCell ref="G987:G988"/>
    <mergeCell ref="G763:G764"/>
    <mergeCell ref="G955:G956"/>
    <mergeCell ref="G1019:G1020"/>
    <mergeCell ref="G1051:G1052"/>
    <mergeCell ref="G1083:G1084"/>
    <mergeCell ref="G1115:G1116"/>
    <mergeCell ref="G795:G796"/>
    <mergeCell ref="G827:G828"/>
    <mergeCell ref="G859:G860"/>
    <mergeCell ref="G891:G892"/>
    <mergeCell ref="G923:G924"/>
    <mergeCell ref="A1158:A1159"/>
    <mergeCell ref="A1174:A1175"/>
    <mergeCell ref="A1190:A1191"/>
    <mergeCell ref="A1206:A1207"/>
    <mergeCell ref="A1078:A1079"/>
    <mergeCell ref="A1094:A1095"/>
    <mergeCell ref="A1110:A1111"/>
    <mergeCell ref="A1126:A1127"/>
    <mergeCell ref="A1142:A1143"/>
    <mergeCell ref="A998:A999"/>
    <mergeCell ref="A1014:A1015"/>
    <mergeCell ref="A1030:A1031"/>
    <mergeCell ref="A1046:A1047"/>
    <mergeCell ref="A1062:A1063"/>
    <mergeCell ref="A918:A919"/>
    <mergeCell ref="A934:A935"/>
    <mergeCell ref="A950:A951"/>
    <mergeCell ref="A966:A967"/>
    <mergeCell ref="A982:A983"/>
    <mergeCell ref="A838:A839"/>
    <mergeCell ref="A854:A855"/>
    <mergeCell ref="A870:A871"/>
    <mergeCell ref="A886:A887"/>
    <mergeCell ref="A902:A903"/>
    <mergeCell ref="A758:A759"/>
    <mergeCell ref="A774:A775"/>
    <mergeCell ref="A790:A791"/>
    <mergeCell ref="A806:A807"/>
    <mergeCell ref="A822:A823"/>
    <mergeCell ref="A678:A679"/>
    <mergeCell ref="A694:A695"/>
    <mergeCell ref="A710:A711"/>
    <mergeCell ref="A726:A727"/>
    <mergeCell ref="A742:A743"/>
    <mergeCell ref="A598:A599"/>
    <mergeCell ref="A614:A615"/>
    <mergeCell ref="A630:A631"/>
    <mergeCell ref="A646:A647"/>
    <mergeCell ref="A662:A663"/>
    <mergeCell ref="A518:A519"/>
    <mergeCell ref="A534:A535"/>
    <mergeCell ref="A550:A551"/>
    <mergeCell ref="A566:A567"/>
    <mergeCell ref="A582:A583"/>
    <mergeCell ref="A438:A439"/>
    <mergeCell ref="A454:A455"/>
    <mergeCell ref="A470:A471"/>
    <mergeCell ref="A486:A487"/>
    <mergeCell ref="A502:A503"/>
    <mergeCell ref="A358:A359"/>
    <mergeCell ref="A406:A407"/>
    <mergeCell ref="A390:A391"/>
    <mergeCell ref="A422:A423"/>
    <mergeCell ref="A198:A199"/>
    <mergeCell ref="A230:A231"/>
    <mergeCell ref="A262:A263"/>
    <mergeCell ref="A294:A295"/>
    <mergeCell ref="A326:A327"/>
    <mergeCell ref="A342:A343"/>
    <mergeCell ref="A374:A375"/>
    <mergeCell ref="A182:A183"/>
    <mergeCell ref="A214:A215"/>
    <mergeCell ref="A246:A247"/>
    <mergeCell ref="A278:A279"/>
    <mergeCell ref="A310:A311"/>
    <mergeCell ref="A166:A167"/>
    <mergeCell ref="A6:A7"/>
    <mergeCell ref="A22:A23"/>
    <mergeCell ref="A38:A39"/>
    <mergeCell ref="A70:A71"/>
    <mergeCell ref="A102:A103"/>
    <mergeCell ref="A134:A135"/>
    <mergeCell ref="A54:A55"/>
    <mergeCell ref="A86:A87"/>
    <mergeCell ref="A118:A119"/>
    <mergeCell ref="A150:A151"/>
  </mergeCells>
  <dataValidations xWindow="690" yWindow="789" count="15">
    <dataValidation type="list" allowBlank="1" showInputMessage="1" showErrorMessage="1" sqref="D29 D573 D605 D61 D93 D125 D157 D189 D221 D253 D285 D325 D317 D349 D381 D413 D445 D477 D509 D541 D637 D669 D701 D733 D765 D797 D829 D861 D893 D925 D957 D989 D1021 D1053 D1085 D1117 D1149 D1181 D1213">
      <formula1>"DC_type22, DP+type21,SC_type11"</formula1>
    </dataValidation>
    <dataValidation allowBlank="1" showErrorMessage="1" prompt="choose dimension from drop down menu" sqref="A611 A643 A35 A29:A33 A637:A641 A605:A609 A67 A61:A65 A99 A93:A97 A131 A125:A129 A163 A157:A161 A195 A189:A193 A227 A221:A225 A259 A253:A257 A291 A285:A289 A325 A323 A355 A317:A321 A389 A349:A353 A387 A381:A385 A419 A413:A417 A451 A445:A449 A483 A477:A481 A515 A509:A513 A547 A541:A545 A579 A573:A577 A357 A645 A675 A669:A673 A707 A701:A705 A739 A733:A737 A771 A765:A769 A803 A797:A801 A835 A829:A833 A867 A861:A865 A899 A893:A897 A931 A925:A929 A963 A957:A961 A995 A989:A993 A1027 A1021:A1025 A1059 A1053:A1057 A1091 A1085:A1089 A1123 A1117:A1121 A1155 A1149:A1153 A1187 A1181:A1185 A1219 A1213:A1217"/>
    <dataValidation allowBlank="1" showErrorMessage="1" prompt="insert dimension  from drop down menu" sqref="B637 B31:B33 B61 B95:B97 B125 B159:B161 B189 B223:B225 B255:B257 B287:B289 B349 B319:B321 B351:B353 B383:B385 B415:B417 B445 B477 B509 B541 B573 B605 B29 B63:B65 B93 B127:B129 B157 B191:B193 B221 B253 B285 B317 B325 B357 B381 B413 B447:B449 B479:B481 B511:B513 B543:B545 B575:B577 B607:B609 B639:B641 B645 B671:B673 B669 B703:B705 B701 B735:B737 B733 B767:B769 B765 B799:B801 B797 B831:B833 B829 B863:B865 B861 B895:B897 B893 B927:B929 B925 B959:B961 B957 B991:B993 B989 B1023:B1025 B1021 B1055:B1057 B1053 B1087:B1089 B1085 B1119:B1121 B1117 B1151:B1153 B1149 B1183:B1185 B1181 B1215:B1217 B1213"/>
    <dataValidation type="list" allowBlank="1" showInputMessage="1" showErrorMessage="1" sqref="D30 D606 D645 D62 D94 D126 D158 D190 D222 D254 D286 D574 D318 D350 D382 D414 D446 D478 D510 D542 D638 D670 D702 D734 D766 D798 D830 D862 D894 D926 D958 D990 D1022 D1054 D1086 D1118 D1150 D1182 D1214">
      <formula1>"DC, DP+,DP,SC,SP, towel rail,triple"</formula1>
    </dataValidation>
    <dataValidation type="list" allowBlank="1" showInputMessage="1" showErrorMessage="1" sqref="A601 A25 A57 A89 A121 A153 A185 A217 A249 B293 A281 A313 A345 A377 A409 A441 A473 A505 A537 A569 A633 A665 A697 A729 A761 A793 A825 A857 A889 A921 A953 A985 A1017 A1049 A1081 A1113 A1145 A1177 A1209">
      <formula1>"UFH,Radiators"</formula1>
    </dataValidation>
    <dataValidation type="list" allowBlank="1" showInputMessage="1" showErrorMessage="1" sqref="B25 B57 B89 B121 B153 B185 B217 B249 B281 B313 B345 B377 B409 B441 B473 B505 B537 B569 B601 B633 B665 B697 B729 B761 B793 B825 B857 B889 B921 B953 B985 B1017 B1049 B1081 B1113 B1145 B1177 B1209">
      <formula1>"Tiles,Wood,Carpet"</formula1>
    </dataValidation>
    <dataValidation type="list" allowBlank="1" showInputMessage="1" showErrorMessage="1" sqref="B261">
      <formula1>$J$113:$J$113</formula1>
    </dataValidation>
    <dataValidation type="list" allowBlank="1" showInputMessage="1" showErrorMessage="1" sqref="B549">
      <formula1>$J$44:$J$68</formula1>
    </dataValidation>
    <dataValidation type="list" allowBlank="1" showInputMessage="1" showErrorMessage="1" sqref="B165">
      <formula1>$J$14:$J$105</formula1>
    </dataValidation>
    <dataValidation type="list" allowBlank="1" showInputMessage="1" showErrorMessage="1" sqref="D25 D57 D89 D121 D153 D185 D217 D249 D281 D313 D345 D377 D409 D441 D473 D505 D537 D569 D601 D633 D665 D697 D729 D761 D793 D825 D857 D889 D921 D953 D985 D1017 D1049 D1081 D1113 D1145 D1177 D1209">
      <formula1>"150mm,200mm,250mm,300mm"</formula1>
    </dataValidation>
    <dataValidation type="list" allowBlank="1" showInputMessage="1" showErrorMessage="1" sqref="B11 B43 B75 B107 B139 B171 B203 B235 B267 B299 B331 B363 B395 B427 B459 B491 B523 B555 B587 B619 B651 B683 B715 B747 B779 B811 B843 B875 B907 B939 B971 B1003 B1035 B1067 B1099 B1131 B1163 B1195">
      <formula1>$I$23:$I$49</formula1>
    </dataValidation>
    <dataValidation type="list" allowBlank="1" showInputMessage="1" showErrorMessage="1" sqref="B13 B45 B77 B109 B141 B173 B205 B237 B269 B301 B333 B365 B397 B429 B461 B493 B525 B557 B589 B621 B653 B685 B717 B749 B781 B813 B845 B877 B909 B941 B973 B1005 B1037 B1069 B1101 B1133 B1165 B1197">
      <formula1>$I$4:$I$16</formula1>
    </dataValidation>
    <dataValidation type="list" allowBlank="1" showInputMessage="1" showErrorMessage="1" sqref="B16 B48 B80 B112 B144 B176 B208 B240 B272 B304 B336 B368 B400 B432 B464 B496 B528 B560 B592 B624 B656 B688 B720 B752 B784 B816 B848 B880 B912 B944 B976 B1008 B1040 B1072 B1104 B1136 B1168 B1200">
      <formula1>$I$81:$I$100</formula1>
    </dataValidation>
    <dataValidation type="list" allowBlank="1" showInputMessage="1" showErrorMessage="1" sqref="B18 B50 B82 B114 B146 B178 B210 B242 B274 B306 B338 B370 B402 B434 B466 B498 B530 B562 B594 B626 B658 B690 B722 B754 B786 B818 B850 B882 B914 B946 B978 B1010 B1042 B1074 B1106 B1138 B1170 B1202">
      <formula1>$I$54:$I$75</formula1>
    </dataValidation>
    <dataValidation type="list" allowBlank="1" showInputMessage="1" showErrorMessage="1" sqref="B20 B52 B84 B116 B148 B180 B212 B244 B276 B308 B340 B372 B404 B436 B468 B500 B532 B564 B596 B628 B660 B692 B724 B756 B788 B820 B852 B884 B916 B948 B980 B1012 B1044 B1076 B1108 B1140 B1172 B1204">
      <formula1>$I$114:$I$123</formula1>
    </dataValidation>
  </dataValidations>
  <printOptions horizontalCentered="1"/>
  <pageMargins left="0.70866141732283472" right="0.70866141732283472" top="0.74803149606299213" bottom="0.74803149606299213" header="0.31496062992125984" footer="0.31496062992125984"/>
  <pageSetup paperSize="9" scale="54" fitToHeight="4" orientation="portrait" horizontalDpi="4294967293" verticalDpi="4294967293" r:id="rId1"/>
  <headerFooter>
    <oddHeader>&amp;Linsert your details here&amp;Cinsert your logo here</oddHeader>
    <oddFooter>&amp;CCopyright Hendra Freedom Heat pumps
www.samsungehs.co.uk www.freedomhp.co.uk
02380274833</oddFooter>
  </headerFooter>
  <rowBreaks count="13" manualBreakCount="13">
    <brk id="37" max="7" man="1"/>
    <brk id="68" max="7" man="1"/>
    <brk id="100" max="7" man="1"/>
    <brk id="132" max="7" man="1"/>
    <brk id="164" max="7" man="1"/>
    <brk id="196" max="7" man="1"/>
    <brk id="228" max="7" man="1"/>
    <brk id="260" max="7" man="1"/>
    <brk id="292" max="7" man="1"/>
    <brk id="389" max="7" man="1"/>
    <brk id="477" max="7" man="1"/>
    <brk id="564" max="7" man="1"/>
    <brk id="668" max="7" man="1"/>
  </rowBreaks>
  <drawing r:id="rId2"/>
  <extLst>
    <ext xmlns:x14="http://schemas.microsoft.com/office/spreadsheetml/2009/9/main" uri="{78C0D931-6437-407d-A8EE-F0AAD7539E65}">
      <x14:conditionalFormattings>
        <x14:conditionalFormatting xmlns:xm="http://schemas.microsoft.com/office/excel/2006/main">
          <x14:cfRule type="iconSet" priority="61" id="{738E0D90-7F74-4AA7-9BA2-A7F12F642F3F}">
            <x14:iconSet iconSet="3Symbols2" custom="1">
              <x14:cfvo type="percent">
                <xm:f>0</xm:f>
              </x14:cfvo>
              <x14:cfvo type="num">
                <xm:f>0</xm:f>
              </x14:cfvo>
              <x14:cfvo type="num">
                <xm:f>100</xm:f>
              </x14:cfvo>
              <x14:cfIcon iconSet="NoIcons" iconId="0"/>
              <x14:cfIcon iconSet="3Symbols2" iconId="2"/>
              <x14:cfIcon iconSet="3Symbols2" iconId="0"/>
            </x14:iconSet>
          </x14:cfRule>
          <xm:sqref>G13</xm:sqref>
        </x14:conditionalFormatting>
        <x14:conditionalFormatting xmlns:xm="http://schemas.microsoft.com/office/excel/2006/main">
          <x14:cfRule type="iconSet" priority="38" id="{E8A6AD8A-3BCA-48CB-B46C-D265021AEEAB}">
            <x14:iconSet iconSet="3Symbols2" custom="1">
              <x14:cfvo type="percent">
                <xm:f>0</xm:f>
              </x14:cfvo>
              <x14:cfvo type="num">
                <xm:f>0</xm:f>
              </x14:cfvo>
              <x14:cfvo type="num">
                <xm:f>100</xm:f>
              </x14:cfvo>
              <x14:cfIcon iconSet="NoIcons" iconId="0"/>
              <x14:cfIcon iconSet="3Symbols2" iconId="2"/>
              <x14:cfIcon iconSet="3Symbols2" iconId="0"/>
            </x14:iconSet>
          </x14:cfRule>
          <xm:sqref>G45</xm:sqref>
        </x14:conditionalFormatting>
        <x14:conditionalFormatting xmlns:xm="http://schemas.microsoft.com/office/excel/2006/main">
          <x14:cfRule type="iconSet" priority="36" id="{76FE3C7B-C9F4-474C-934E-8122DA1EB320}">
            <x14:iconSet iconSet="3Symbols2" custom="1">
              <x14:cfvo type="percent">
                <xm:f>0</xm:f>
              </x14:cfvo>
              <x14:cfvo type="num">
                <xm:f>0</xm:f>
              </x14:cfvo>
              <x14:cfvo type="num">
                <xm:f>100</xm:f>
              </x14:cfvo>
              <x14:cfIcon iconSet="NoIcons" iconId="0"/>
              <x14:cfIcon iconSet="3Symbols2" iconId="2"/>
              <x14:cfIcon iconSet="3Symbols2" iconId="0"/>
            </x14:iconSet>
          </x14:cfRule>
          <xm:sqref>G77</xm:sqref>
        </x14:conditionalFormatting>
        <x14:conditionalFormatting xmlns:xm="http://schemas.microsoft.com/office/excel/2006/main">
          <x14:cfRule type="iconSet" priority="35" id="{28D6FC2C-BC93-4121-A6C8-F602B0D7D942}">
            <x14:iconSet iconSet="3Symbols2" custom="1">
              <x14:cfvo type="percent">
                <xm:f>0</xm:f>
              </x14:cfvo>
              <x14:cfvo type="num">
                <xm:f>0</xm:f>
              </x14:cfvo>
              <x14:cfvo type="num">
                <xm:f>100</xm:f>
              </x14:cfvo>
              <x14:cfIcon iconSet="NoIcons" iconId="0"/>
              <x14:cfIcon iconSet="3Symbols2" iconId="2"/>
              <x14:cfIcon iconSet="3Symbols2" iconId="0"/>
            </x14:iconSet>
          </x14:cfRule>
          <xm:sqref>G109</xm:sqref>
        </x14:conditionalFormatting>
        <x14:conditionalFormatting xmlns:xm="http://schemas.microsoft.com/office/excel/2006/main">
          <x14:cfRule type="iconSet" priority="34" id="{7D5C3304-1EF4-4CCB-8DC6-1F85679A20F0}">
            <x14:iconSet iconSet="3Symbols2" custom="1">
              <x14:cfvo type="percent">
                <xm:f>0</xm:f>
              </x14:cfvo>
              <x14:cfvo type="num">
                <xm:f>0</xm:f>
              </x14:cfvo>
              <x14:cfvo type="num">
                <xm:f>100</xm:f>
              </x14:cfvo>
              <x14:cfIcon iconSet="NoIcons" iconId="0"/>
              <x14:cfIcon iconSet="3Symbols2" iconId="2"/>
              <x14:cfIcon iconSet="3Symbols2" iconId="0"/>
            </x14:iconSet>
          </x14:cfRule>
          <xm:sqref>G141</xm:sqref>
        </x14:conditionalFormatting>
        <x14:conditionalFormatting xmlns:xm="http://schemas.microsoft.com/office/excel/2006/main">
          <x14:cfRule type="iconSet" priority="33" id="{249F2BF6-651C-4C55-8756-2BEE91E5323E}">
            <x14:iconSet iconSet="3Symbols2" custom="1">
              <x14:cfvo type="percent">
                <xm:f>0</xm:f>
              </x14:cfvo>
              <x14:cfvo type="num">
                <xm:f>0</xm:f>
              </x14:cfvo>
              <x14:cfvo type="num">
                <xm:f>100</xm:f>
              </x14:cfvo>
              <x14:cfIcon iconSet="NoIcons" iconId="0"/>
              <x14:cfIcon iconSet="3Symbols2" iconId="2"/>
              <x14:cfIcon iconSet="3Symbols2" iconId="0"/>
            </x14:iconSet>
          </x14:cfRule>
          <xm:sqref>G173</xm:sqref>
        </x14:conditionalFormatting>
        <x14:conditionalFormatting xmlns:xm="http://schemas.microsoft.com/office/excel/2006/main">
          <x14:cfRule type="iconSet" priority="32" id="{C7EC11C1-8280-4733-B38A-C54FD754B244}">
            <x14:iconSet iconSet="3Symbols2" custom="1">
              <x14:cfvo type="percent">
                <xm:f>0</xm:f>
              </x14:cfvo>
              <x14:cfvo type="num">
                <xm:f>0</xm:f>
              </x14:cfvo>
              <x14:cfvo type="num">
                <xm:f>100</xm:f>
              </x14:cfvo>
              <x14:cfIcon iconSet="NoIcons" iconId="0"/>
              <x14:cfIcon iconSet="3Symbols2" iconId="2"/>
              <x14:cfIcon iconSet="3Symbols2" iconId="0"/>
            </x14:iconSet>
          </x14:cfRule>
          <xm:sqref>G205</xm:sqref>
        </x14:conditionalFormatting>
        <x14:conditionalFormatting xmlns:xm="http://schemas.microsoft.com/office/excel/2006/main">
          <x14:cfRule type="iconSet" priority="31" id="{95010C59-95E8-4EB5-A3B6-E1FE8AD49C23}">
            <x14:iconSet iconSet="3Symbols2" custom="1">
              <x14:cfvo type="percent">
                <xm:f>0</xm:f>
              </x14:cfvo>
              <x14:cfvo type="num">
                <xm:f>0</xm:f>
              </x14:cfvo>
              <x14:cfvo type="num">
                <xm:f>100</xm:f>
              </x14:cfvo>
              <x14:cfIcon iconSet="NoIcons" iconId="0"/>
              <x14:cfIcon iconSet="3Symbols2" iconId="2"/>
              <x14:cfIcon iconSet="3Symbols2" iconId="0"/>
            </x14:iconSet>
          </x14:cfRule>
          <xm:sqref>G237</xm:sqref>
        </x14:conditionalFormatting>
        <x14:conditionalFormatting xmlns:xm="http://schemas.microsoft.com/office/excel/2006/main">
          <x14:cfRule type="iconSet" priority="30" id="{0347536B-C11F-42B9-9FA6-77225CBA8922}">
            <x14:iconSet iconSet="3Symbols2" custom="1">
              <x14:cfvo type="percent">
                <xm:f>0</xm:f>
              </x14:cfvo>
              <x14:cfvo type="num">
                <xm:f>0</xm:f>
              </x14:cfvo>
              <x14:cfvo type="num">
                <xm:f>100</xm:f>
              </x14:cfvo>
              <x14:cfIcon iconSet="NoIcons" iconId="0"/>
              <x14:cfIcon iconSet="3Symbols2" iconId="2"/>
              <x14:cfIcon iconSet="3Symbols2" iconId="0"/>
            </x14:iconSet>
          </x14:cfRule>
          <xm:sqref>G269</xm:sqref>
        </x14:conditionalFormatting>
        <x14:conditionalFormatting xmlns:xm="http://schemas.microsoft.com/office/excel/2006/main">
          <x14:cfRule type="iconSet" priority="29" id="{EA2AD3F6-E0B9-4AEC-9D63-E7A55E78A30B}">
            <x14:iconSet iconSet="3Symbols2" custom="1">
              <x14:cfvo type="percent">
                <xm:f>0</xm:f>
              </x14:cfvo>
              <x14:cfvo type="num">
                <xm:f>0</xm:f>
              </x14:cfvo>
              <x14:cfvo type="num">
                <xm:f>100</xm:f>
              </x14:cfvo>
              <x14:cfIcon iconSet="NoIcons" iconId="0"/>
              <x14:cfIcon iconSet="3Symbols2" iconId="2"/>
              <x14:cfIcon iconSet="3Symbols2" iconId="0"/>
            </x14:iconSet>
          </x14:cfRule>
          <xm:sqref>G301</xm:sqref>
        </x14:conditionalFormatting>
        <x14:conditionalFormatting xmlns:xm="http://schemas.microsoft.com/office/excel/2006/main">
          <x14:cfRule type="iconSet" priority="28" id="{4E846B31-D555-463E-95B0-AA0C9A0CD594}">
            <x14:iconSet iconSet="3Symbols2" custom="1">
              <x14:cfvo type="percent">
                <xm:f>0</xm:f>
              </x14:cfvo>
              <x14:cfvo type="num">
                <xm:f>0</xm:f>
              </x14:cfvo>
              <x14:cfvo type="num">
                <xm:f>100</xm:f>
              </x14:cfvo>
              <x14:cfIcon iconSet="NoIcons" iconId="0"/>
              <x14:cfIcon iconSet="3Symbols2" iconId="2"/>
              <x14:cfIcon iconSet="3Symbols2" iconId="0"/>
            </x14:iconSet>
          </x14:cfRule>
          <xm:sqref>G333</xm:sqref>
        </x14:conditionalFormatting>
        <x14:conditionalFormatting xmlns:xm="http://schemas.microsoft.com/office/excel/2006/main">
          <x14:cfRule type="iconSet" priority="27" id="{97C3D549-58FB-46A3-B6B9-0B02791AC962}">
            <x14:iconSet iconSet="3Symbols2" custom="1">
              <x14:cfvo type="percent">
                <xm:f>0</xm:f>
              </x14:cfvo>
              <x14:cfvo type="num">
                <xm:f>0</xm:f>
              </x14:cfvo>
              <x14:cfvo type="num">
                <xm:f>100</xm:f>
              </x14:cfvo>
              <x14:cfIcon iconSet="NoIcons" iconId="0"/>
              <x14:cfIcon iconSet="3Symbols2" iconId="2"/>
              <x14:cfIcon iconSet="3Symbols2" iconId="0"/>
            </x14:iconSet>
          </x14:cfRule>
          <xm:sqref>G365</xm:sqref>
        </x14:conditionalFormatting>
        <x14:conditionalFormatting xmlns:xm="http://schemas.microsoft.com/office/excel/2006/main">
          <x14:cfRule type="iconSet" priority="26" id="{615D4273-B260-4A87-80CD-08644057A4EF}">
            <x14:iconSet iconSet="3Symbols2" custom="1">
              <x14:cfvo type="percent">
                <xm:f>0</xm:f>
              </x14:cfvo>
              <x14:cfvo type="num">
                <xm:f>0</xm:f>
              </x14:cfvo>
              <x14:cfvo type="num">
                <xm:f>100</xm:f>
              </x14:cfvo>
              <x14:cfIcon iconSet="NoIcons" iconId="0"/>
              <x14:cfIcon iconSet="3Symbols2" iconId="2"/>
              <x14:cfIcon iconSet="3Symbols2" iconId="0"/>
            </x14:iconSet>
          </x14:cfRule>
          <xm:sqref>G397</xm:sqref>
        </x14:conditionalFormatting>
        <x14:conditionalFormatting xmlns:xm="http://schemas.microsoft.com/office/excel/2006/main">
          <x14:cfRule type="iconSet" priority="25" id="{7E267D58-C4F3-4F79-A9D3-9F151EA8CB48}">
            <x14:iconSet iconSet="3Symbols2" custom="1">
              <x14:cfvo type="percent">
                <xm:f>0</xm:f>
              </x14:cfvo>
              <x14:cfvo type="num">
                <xm:f>0</xm:f>
              </x14:cfvo>
              <x14:cfvo type="num">
                <xm:f>100</xm:f>
              </x14:cfvo>
              <x14:cfIcon iconSet="NoIcons" iconId="0"/>
              <x14:cfIcon iconSet="3Symbols2" iconId="2"/>
              <x14:cfIcon iconSet="3Symbols2" iconId="0"/>
            </x14:iconSet>
          </x14:cfRule>
          <xm:sqref>G429</xm:sqref>
        </x14:conditionalFormatting>
        <x14:conditionalFormatting xmlns:xm="http://schemas.microsoft.com/office/excel/2006/main">
          <x14:cfRule type="iconSet" priority="24" id="{4098F2AE-71E6-431B-AEBF-FD40DD1053CA}">
            <x14:iconSet iconSet="3Symbols2" custom="1">
              <x14:cfvo type="percent">
                <xm:f>0</xm:f>
              </x14:cfvo>
              <x14:cfvo type="num">
                <xm:f>0</xm:f>
              </x14:cfvo>
              <x14:cfvo type="num">
                <xm:f>100</xm:f>
              </x14:cfvo>
              <x14:cfIcon iconSet="NoIcons" iconId="0"/>
              <x14:cfIcon iconSet="3Symbols2" iconId="2"/>
              <x14:cfIcon iconSet="3Symbols2" iconId="0"/>
            </x14:iconSet>
          </x14:cfRule>
          <xm:sqref>G461</xm:sqref>
        </x14:conditionalFormatting>
        <x14:conditionalFormatting xmlns:xm="http://schemas.microsoft.com/office/excel/2006/main">
          <x14:cfRule type="iconSet" priority="23" id="{5EE50665-84DA-4261-9B41-F2007D3F1828}">
            <x14:iconSet iconSet="3Symbols2" custom="1">
              <x14:cfvo type="percent">
                <xm:f>0</xm:f>
              </x14:cfvo>
              <x14:cfvo type="num">
                <xm:f>0</xm:f>
              </x14:cfvo>
              <x14:cfvo type="num">
                <xm:f>100</xm:f>
              </x14:cfvo>
              <x14:cfIcon iconSet="NoIcons" iconId="0"/>
              <x14:cfIcon iconSet="3Symbols2" iconId="2"/>
              <x14:cfIcon iconSet="3Symbols2" iconId="0"/>
            </x14:iconSet>
          </x14:cfRule>
          <xm:sqref>G493</xm:sqref>
        </x14:conditionalFormatting>
        <x14:conditionalFormatting xmlns:xm="http://schemas.microsoft.com/office/excel/2006/main">
          <x14:cfRule type="iconSet" priority="22" id="{ED56250B-0BD6-4078-BFD4-34BA521DCD0B}">
            <x14:iconSet iconSet="3Symbols2" custom="1">
              <x14:cfvo type="percent">
                <xm:f>0</xm:f>
              </x14:cfvo>
              <x14:cfvo type="num">
                <xm:f>0</xm:f>
              </x14:cfvo>
              <x14:cfvo type="num">
                <xm:f>100</xm:f>
              </x14:cfvo>
              <x14:cfIcon iconSet="NoIcons" iconId="0"/>
              <x14:cfIcon iconSet="3Symbols2" iconId="2"/>
              <x14:cfIcon iconSet="3Symbols2" iconId="0"/>
            </x14:iconSet>
          </x14:cfRule>
          <xm:sqref>G525</xm:sqref>
        </x14:conditionalFormatting>
        <x14:conditionalFormatting xmlns:xm="http://schemas.microsoft.com/office/excel/2006/main">
          <x14:cfRule type="iconSet" priority="21" id="{23A869C8-12D3-47A5-B9C6-26F9813060F9}">
            <x14:iconSet iconSet="3Symbols2" custom="1">
              <x14:cfvo type="percent">
                <xm:f>0</xm:f>
              </x14:cfvo>
              <x14:cfvo type="num">
                <xm:f>0</xm:f>
              </x14:cfvo>
              <x14:cfvo type="num">
                <xm:f>100</xm:f>
              </x14:cfvo>
              <x14:cfIcon iconSet="NoIcons" iconId="0"/>
              <x14:cfIcon iconSet="3Symbols2" iconId="2"/>
              <x14:cfIcon iconSet="3Symbols2" iconId="0"/>
            </x14:iconSet>
          </x14:cfRule>
          <xm:sqref>G557</xm:sqref>
        </x14:conditionalFormatting>
        <x14:conditionalFormatting xmlns:xm="http://schemas.microsoft.com/office/excel/2006/main">
          <x14:cfRule type="iconSet" priority="20" id="{8C45A156-846F-478A-92DE-B2D8CD8A19C4}">
            <x14:iconSet iconSet="3Symbols2" custom="1">
              <x14:cfvo type="percent">
                <xm:f>0</xm:f>
              </x14:cfvo>
              <x14:cfvo type="num">
                <xm:f>0</xm:f>
              </x14:cfvo>
              <x14:cfvo type="num">
                <xm:f>100</xm:f>
              </x14:cfvo>
              <x14:cfIcon iconSet="NoIcons" iconId="0"/>
              <x14:cfIcon iconSet="3Symbols2" iconId="2"/>
              <x14:cfIcon iconSet="3Symbols2" iconId="0"/>
            </x14:iconSet>
          </x14:cfRule>
          <xm:sqref>G589</xm:sqref>
        </x14:conditionalFormatting>
        <x14:conditionalFormatting xmlns:xm="http://schemas.microsoft.com/office/excel/2006/main">
          <x14:cfRule type="iconSet" priority="19" id="{07C5C78A-DEB9-45AE-9BB4-9BC1A6270D84}">
            <x14:iconSet iconSet="3Symbols2" custom="1">
              <x14:cfvo type="percent">
                <xm:f>0</xm:f>
              </x14:cfvo>
              <x14:cfvo type="num">
                <xm:f>0</xm:f>
              </x14:cfvo>
              <x14:cfvo type="num">
                <xm:f>100</xm:f>
              </x14:cfvo>
              <x14:cfIcon iconSet="NoIcons" iconId="0"/>
              <x14:cfIcon iconSet="3Symbols2" iconId="2"/>
              <x14:cfIcon iconSet="3Symbols2" iconId="0"/>
            </x14:iconSet>
          </x14:cfRule>
          <xm:sqref>G621</xm:sqref>
        </x14:conditionalFormatting>
        <x14:conditionalFormatting xmlns:xm="http://schemas.microsoft.com/office/excel/2006/main">
          <x14:cfRule type="iconSet" priority="18" id="{B2AC4380-9049-4AE7-AEA6-0226525358F6}">
            <x14:iconSet iconSet="3Symbols2" custom="1">
              <x14:cfvo type="percent">
                <xm:f>0</xm:f>
              </x14:cfvo>
              <x14:cfvo type="num">
                <xm:f>0</xm:f>
              </x14:cfvo>
              <x14:cfvo type="num">
                <xm:f>100</xm:f>
              </x14:cfvo>
              <x14:cfIcon iconSet="NoIcons" iconId="0"/>
              <x14:cfIcon iconSet="3Symbols2" iconId="2"/>
              <x14:cfIcon iconSet="3Symbols2" iconId="0"/>
            </x14:iconSet>
          </x14:cfRule>
          <xm:sqref>G653</xm:sqref>
        </x14:conditionalFormatting>
        <x14:conditionalFormatting xmlns:xm="http://schemas.microsoft.com/office/excel/2006/main">
          <x14:cfRule type="iconSet" priority="17" id="{70B69BEF-25CE-4408-B5E0-4F9CFF4FD969}">
            <x14:iconSet iconSet="3Symbols2" custom="1">
              <x14:cfvo type="percent">
                <xm:f>0</xm:f>
              </x14:cfvo>
              <x14:cfvo type="num">
                <xm:f>0</xm:f>
              </x14:cfvo>
              <x14:cfvo type="num">
                <xm:f>100</xm:f>
              </x14:cfvo>
              <x14:cfIcon iconSet="NoIcons" iconId="0"/>
              <x14:cfIcon iconSet="3Symbols2" iconId="2"/>
              <x14:cfIcon iconSet="3Symbols2" iconId="0"/>
            </x14:iconSet>
          </x14:cfRule>
          <xm:sqref>G685</xm:sqref>
        </x14:conditionalFormatting>
        <x14:conditionalFormatting xmlns:xm="http://schemas.microsoft.com/office/excel/2006/main">
          <x14:cfRule type="iconSet" priority="16" id="{5BD024D0-A697-4F34-B716-60FA5527D919}">
            <x14:iconSet iconSet="3Symbols2" custom="1">
              <x14:cfvo type="percent">
                <xm:f>0</xm:f>
              </x14:cfvo>
              <x14:cfvo type="num">
                <xm:f>0</xm:f>
              </x14:cfvo>
              <x14:cfvo type="num">
                <xm:f>100</xm:f>
              </x14:cfvo>
              <x14:cfIcon iconSet="NoIcons" iconId="0"/>
              <x14:cfIcon iconSet="3Symbols2" iconId="2"/>
              <x14:cfIcon iconSet="3Symbols2" iconId="0"/>
            </x14:iconSet>
          </x14:cfRule>
          <xm:sqref>G717</xm:sqref>
        </x14:conditionalFormatting>
        <x14:conditionalFormatting xmlns:xm="http://schemas.microsoft.com/office/excel/2006/main">
          <x14:cfRule type="iconSet" priority="15" id="{E823692E-640C-46FF-A79B-C3F746DB80E9}">
            <x14:iconSet iconSet="3Symbols2" custom="1">
              <x14:cfvo type="percent">
                <xm:f>0</xm:f>
              </x14:cfvo>
              <x14:cfvo type="num">
                <xm:f>0</xm:f>
              </x14:cfvo>
              <x14:cfvo type="num">
                <xm:f>100</xm:f>
              </x14:cfvo>
              <x14:cfIcon iconSet="NoIcons" iconId="0"/>
              <x14:cfIcon iconSet="3Symbols2" iconId="2"/>
              <x14:cfIcon iconSet="3Symbols2" iconId="0"/>
            </x14:iconSet>
          </x14:cfRule>
          <xm:sqref>G749</xm:sqref>
        </x14:conditionalFormatting>
        <x14:conditionalFormatting xmlns:xm="http://schemas.microsoft.com/office/excel/2006/main">
          <x14:cfRule type="iconSet" priority="14" id="{AD900210-EF9A-413C-9240-BA441A5B5496}">
            <x14:iconSet iconSet="3Symbols2" custom="1">
              <x14:cfvo type="percent">
                <xm:f>0</xm:f>
              </x14:cfvo>
              <x14:cfvo type="num">
                <xm:f>0</xm:f>
              </x14:cfvo>
              <x14:cfvo type="num">
                <xm:f>100</xm:f>
              </x14:cfvo>
              <x14:cfIcon iconSet="NoIcons" iconId="0"/>
              <x14:cfIcon iconSet="3Symbols2" iconId="2"/>
              <x14:cfIcon iconSet="3Symbols2" iconId="0"/>
            </x14:iconSet>
          </x14:cfRule>
          <xm:sqref>G781</xm:sqref>
        </x14:conditionalFormatting>
        <x14:conditionalFormatting xmlns:xm="http://schemas.microsoft.com/office/excel/2006/main">
          <x14:cfRule type="iconSet" priority="13" id="{75DE2C4D-1F34-4EF2-B587-96CDC5E696B7}">
            <x14:iconSet iconSet="3Symbols2" custom="1">
              <x14:cfvo type="percent">
                <xm:f>0</xm:f>
              </x14:cfvo>
              <x14:cfvo type="num">
                <xm:f>0</xm:f>
              </x14:cfvo>
              <x14:cfvo type="num">
                <xm:f>100</xm:f>
              </x14:cfvo>
              <x14:cfIcon iconSet="NoIcons" iconId="0"/>
              <x14:cfIcon iconSet="3Symbols2" iconId="2"/>
              <x14:cfIcon iconSet="3Symbols2" iconId="0"/>
            </x14:iconSet>
          </x14:cfRule>
          <xm:sqref>G813</xm:sqref>
        </x14:conditionalFormatting>
        <x14:conditionalFormatting xmlns:xm="http://schemas.microsoft.com/office/excel/2006/main">
          <x14:cfRule type="iconSet" priority="12" id="{C2BB2343-EBBC-4A82-863F-3E72D579CE48}">
            <x14:iconSet iconSet="3Symbols2" custom="1">
              <x14:cfvo type="percent">
                <xm:f>0</xm:f>
              </x14:cfvo>
              <x14:cfvo type="num">
                <xm:f>0</xm:f>
              </x14:cfvo>
              <x14:cfvo type="num">
                <xm:f>100</xm:f>
              </x14:cfvo>
              <x14:cfIcon iconSet="NoIcons" iconId="0"/>
              <x14:cfIcon iconSet="3Symbols2" iconId="2"/>
              <x14:cfIcon iconSet="3Symbols2" iconId="0"/>
            </x14:iconSet>
          </x14:cfRule>
          <xm:sqref>G845</xm:sqref>
        </x14:conditionalFormatting>
        <x14:conditionalFormatting xmlns:xm="http://schemas.microsoft.com/office/excel/2006/main">
          <x14:cfRule type="iconSet" priority="11" id="{AA4B7415-31D8-4B65-B3DF-359DC3FE050E}">
            <x14:iconSet iconSet="3Symbols2" custom="1">
              <x14:cfvo type="percent">
                <xm:f>0</xm:f>
              </x14:cfvo>
              <x14:cfvo type="num">
                <xm:f>0</xm:f>
              </x14:cfvo>
              <x14:cfvo type="num">
                <xm:f>100</xm:f>
              </x14:cfvo>
              <x14:cfIcon iconSet="NoIcons" iconId="0"/>
              <x14:cfIcon iconSet="3Symbols2" iconId="2"/>
              <x14:cfIcon iconSet="3Symbols2" iconId="0"/>
            </x14:iconSet>
          </x14:cfRule>
          <xm:sqref>G877</xm:sqref>
        </x14:conditionalFormatting>
        <x14:conditionalFormatting xmlns:xm="http://schemas.microsoft.com/office/excel/2006/main">
          <x14:cfRule type="iconSet" priority="10" id="{7E2C4726-A0BE-4ECC-B2A4-13425231E3B3}">
            <x14:iconSet iconSet="3Symbols2" custom="1">
              <x14:cfvo type="percent">
                <xm:f>0</xm:f>
              </x14:cfvo>
              <x14:cfvo type="num">
                <xm:f>0</xm:f>
              </x14:cfvo>
              <x14:cfvo type="num">
                <xm:f>100</xm:f>
              </x14:cfvo>
              <x14:cfIcon iconSet="NoIcons" iconId="0"/>
              <x14:cfIcon iconSet="3Symbols2" iconId="2"/>
              <x14:cfIcon iconSet="3Symbols2" iconId="0"/>
            </x14:iconSet>
          </x14:cfRule>
          <xm:sqref>G909</xm:sqref>
        </x14:conditionalFormatting>
        <x14:conditionalFormatting xmlns:xm="http://schemas.microsoft.com/office/excel/2006/main">
          <x14:cfRule type="iconSet" priority="9" id="{97790674-CAA9-4624-BAAF-46EB66E02A2D}">
            <x14:iconSet iconSet="3Symbols2" custom="1">
              <x14:cfvo type="percent">
                <xm:f>0</xm:f>
              </x14:cfvo>
              <x14:cfvo type="num">
                <xm:f>0</xm:f>
              </x14:cfvo>
              <x14:cfvo type="num">
                <xm:f>100</xm:f>
              </x14:cfvo>
              <x14:cfIcon iconSet="NoIcons" iconId="0"/>
              <x14:cfIcon iconSet="3Symbols2" iconId="2"/>
              <x14:cfIcon iconSet="3Symbols2" iconId="0"/>
            </x14:iconSet>
          </x14:cfRule>
          <xm:sqref>G941</xm:sqref>
        </x14:conditionalFormatting>
        <x14:conditionalFormatting xmlns:xm="http://schemas.microsoft.com/office/excel/2006/main">
          <x14:cfRule type="iconSet" priority="8" id="{6B03F85D-314C-4ED4-AF2D-056FBFC9B88D}">
            <x14:iconSet iconSet="3Symbols2" custom="1">
              <x14:cfvo type="percent">
                <xm:f>0</xm:f>
              </x14:cfvo>
              <x14:cfvo type="num">
                <xm:f>0</xm:f>
              </x14:cfvo>
              <x14:cfvo type="num">
                <xm:f>100</xm:f>
              </x14:cfvo>
              <x14:cfIcon iconSet="NoIcons" iconId="0"/>
              <x14:cfIcon iconSet="3Symbols2" iconId="2"/>
              <x14:cfIcon iconSet="3Symbols2" iconId="0"/>
            </x14:iconSet>
          </x14:cfRule>
          <xm:sqref>G973</xm:sqref>
        </x14:conditionalFormatting>
        <x14:conditionalFormatting xmlns:xm="http://schemas.microsoft.com/office/excel/2006/main">
          <x14:cfRule type="iconSet" priority="7" id="{B0A18468-9417-43E2-A023-2CC7B4353AB9}">
            <x14:iconSet iconSet="3Symbols2" custom="1">
              <x14:cfvo type="percent">
                <xm:f>0</xm:f>
              </x14:cfvo>
              <x14:cfvo type="num">
                <xm:f>0</xm:f>
              </x14:cfvo>
              <x14:cfvo type="num">
                <xm:f>100</xm:f>
              </x14:cfvo>
              <x14:cfIcon iconSet="NoIcons" iconId="0"/>
              <x14:cfIcon iconSet="3Symbols2" iconId="2"/>
              <x14:cfIcon iconSet="3Symbols2" iconId="0"/>
            </x14:iconSet>
          </x14:cfRule>
          <xm:sqref>G1005</xm:sqref>
        </x14:conditionalFormatting>
        <x14:conditionalFormatting xmlns:xm="http://schemas.microsoft.com/office/excel/2006/main">
          <x14:cfRule type="iconSet" priority="6" id="{F91F95C0-DB10-45AB-8191-EEDFBAC272DD}">
            <x14:iconSet iconSet="3Symbols2" custom="1">
              <x14:cfvo type="percent">
                <xm:f>0</xm:f>
              </x14:cfvo>
              <x14:cfvo type="num">
                <xm:f>0</xm:f>
              </x14:cfvo>
              <x14:cfvo type="num">
                <xm:f>100</xm:f>
              </x14:cfvo>
              <x14:cfIcon iconSet="NoIcons" iconId="0"/>
              <x14:cfIcon iconSet="3Symbols2" iconId="2"/>
              <x14:cfIcon iconSet="3Symbols2" iconId="0"/>
            </x14:iconSet>
          </x14:cfRule>
          <xm:sqref>G1037</xm:sqref>
        </x14:conditionalFormatting>
        <x14:conditionalFormatting xmlns:xm="http://schemas.microsoft.com/office/excel/2006/main">
          <x14:cfRule type="iconSet" priority="5" id="{B3F54200-33F2-4F51-8369-5D6A69D9BCD9}">
            <x14:iconSet iconSet="3Symbols2" custom="1">
              <x14:cfvo type="percent">
                <xm:f>0</xm:f>
              </x14:cfvo>
              <x14:cfvo type="num">
                <xm:f>0</xm:f>
              </x14:cfvo>
              <x14:cfvo type="num">
                <xm:f>100</xm:f>
              </x14:cfvo>
              <x14:cfIcon iconSet="NoIcons" iconId="0"/>
              <x14:cfIcon iconSet="3Symbols2" iconId="2"/>
              <x14:cfIcon iconSet="3Symbols2" iconId="0"/>
            </x14:iconSet>
          </x14:cfRule>
          <xm:sqref>G1069</xm:sqref>
        </x14:conditionalFormatting>
        <x14:conditionalFormatting xmlns:xm="http://schemas.microsoft.com/office/excel/2006/main">
          <x14:cfRule type="iconSet" priority="4" id="{DDC4AFFC-E5C9-4BA1-A0EA-A2FF3076EC36}">
            <x14:iconSet iconSet="3Symbols2" custom="1">
              <x14:cfvo type="percent">
                <xm:f>0</xm:f>
              </x14:cfvo>
              <x14:cfvo type="num">
                <xm:f>0</xm:f>
              </x14:cfvo>
              <x14:cfvo type="num">
                <xm:f>100</xm:f>
              </x14:cfvo>
              <x14:cfIcon iconSet="NoIcons" iconId="0"/>
              <x14:cfIcon iconSet="3Symbols2" iconId="2"/>
              <x14:cfIcon iconSet="3Symbols2" iconId="0"/>
            </x14:iconSet>
          </x14:cfRule>
          <xm:sqref>G1101</xm:sqref>
        </x14:conditionalFormatting>
        <x14:conditionalFormatting xmlns:xm="http://schemas.microsoft.com/office/excel/2006/main">
          <x14:cfRule type="iconSet" priority="3" id="{6297B6C4-63E1-464C-AC20-CFE660817B83}">
            <x14:iconSet iconSet="3Symbols2" custom="1">
              <x14:cfvo type="percent">
                <xm:f>0</xm:f>
              </x14:cfvo>
              <x14:cfvo type="num">
                <xm:f>0</xm:f>
              </x14:cfvo>
              <x14:cfvo type="num">
                <xm:f>100</xm:f>
              </x14:cfvo>
              <x14:cfIcon iconSet="NoIcons" iconId="0"/>
              <x14:cfIcon iconSet="3Symbols2" iconId="2"/>
              <x14:cfIcon iconSet="3Symbols2" iconId="0"/>
            </x14:iconSet>
          </x14:cfRule>
          <xm:sqref>G1133</xm:sqref>
        </x14:conditionalFormatting>
        <x14:conditionalFormatting xmlns:xm="http://schemas.microsoft.com/office/excel/2006/main">
          <x14:cfRule type="iconSet" priority="2" id="{B0F408DA-F473-4D24-8BE6-5CDC4AD78B28}">
            <x14:iconSet iconSet="3Symbols2" custom="1">
              <x14:cfvo type="percent">
                <xm:f>0</xm:f>
              </x14:cfvo>
              <x14:cfvo type="num">
                <xm:f>0</xm:f>
              </x14:cfvo>
              <x14:cfvo type="num">
                <xm:f>100</xm:f>
              </x14:cfvo>
              <x14:cfIcon iconSet="NoIcons" iconId="0"/>
              <x14:cfIcon iconSet="3Symbols2" iconId="2"/>
              <x14:cfIcon iconSet="3Symbols2" iconId="0"/>
            </x14:iconSet>
          </x14:cfRule>
          <xm:sqref>G1165</xm:sqref>
        </x14:conditionalFormatting>
        <x14:conditionalFormatting xmlns:xm="http://schemas.microsoft.com/office/excel/2006/main">
          <x14:cfRule type="iconSet" priority="1" id="{F6239946-783B-4FDB-A127-E0E06C63D4CD}">
            <x14:iconSet iconSet="3Symbols2" custom="1">
              <x14:cfvo type="percent">
                <xm:f>0</xm:f>
              </x14:cfvo>
              <x14:cfvo type="num">
                <xm:f>0</xm:f>
              </x14:cfvo>
              <x14:cfvo type="num">
                <xm:f>100</xm:f>
              </x14:cfvo>
              <x14:cfIcon iconSet="NoIcons" iconId="0"/>
              <x14:cfIcon iconSet="3Symbols2" iconId="2"/>
              <x14:cfIcon iconSet="3Symbols2" iconId="0"/>
            </x14:iconSet>
          </x14:cfRule>
          <xm:sqref>G1197</xm:sqref>
        </x14:conditionalFormatting>
      </x14:conditionalFormatting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sheetPr enableFormatConditionsCalculation="0">
    <tabColor theme="0" tint="-0.249977111117893"/>
    <pageSetUpPr fitToPage="1"/>
  </sheetPr>
  <dimension ref="A1:EO947"/>
  <sheetViews>
    <sheetView topLeftCell="A46" zoomScale="85" zoomScaleNormal="85" zoomScalePageLayoutView="85" workbookViewId="0">
      <selection activeCell="B8" sqref="B8"/>
    </sheetView>
  </sheetViews>
  <sheetFormatPr defaultColWidth="9.140625" defaultRowHeight="15"/>
  <cols>
    <col min="1" max="1" width="32.42578125" style="63" customWidth="1"/>
    <col min="2" max="2" width="28.7109375" style="63" customWidth="1"/>
    <col min="3" max="3" width="14.140625" style="63" customWidth="1"/>
    <col min="4" max="4" width="24" style="63" customWidth="1"/>
    <col min="5" max="5" width="30.42578125" style="63" customWidth="1"/>
    <col min="6" max="6" width="19.140625" style="63" customWidth="1"/>
    <col min="7" max="7" width="21.140625" style="63" bestFit="1" customWidth="1"/>
    <col min="8" max="8" width="19" style="63" customWidth="1"/>
    <col min="9" max="9" width="17.42578125" style="63" customWidth="1"/>
    <col min="10" max="10" width="12.42578125" style="63" customWidth="1"/>
    <col min="11" max="11" width="18.7109375" style="323" customWidth="1"/>
    <col min="12" max="12" width="26.28515625" style="63" customWidth="1"/>
    <col min="13" max="13" width="28.42578125" style="63" customWidth="1"/>
    <col min="14" max="16" width="26.28515625" style="173" customWidth="1"/>
    <col min="17" max="17" width="17.7109375" style="63" customWidth="1"/>
    <col min="18" max="18" width="20.28515625" style="63" customWidth="1"/>
    <col min="19" max="19" width="20.85546875" style="63" customWidth="1"/>
    <col min="20" max="20" width="23" style="63" customWidth="1"/>
    <col min="21" max="21" width="26.140625" style="63" customWidth="1"/>
    <col min="22" max="22" width="22.85546875" style="63" customWidth="1"/>
    <col min="23" max="24" width="19.42578125" style="63" customWidth="1"/>
    <col min="25" max="25" width="22.28515625" style="63" customWidth="1"/>
    <col min="26" max="26" width="19.42578125" style="63" customWidth="1"/>
    <col min="27" max="27" width="21.42578125" style="63" customWidth="1"/>
    <col min="28" max="28" width="9.140625" style="63" customWidth="1"/>
    <col min="29" max="16384" width="9.140625" style="63"/>
  </cols>
  <sheetData>
    <row r="1" spans="1:33" ht="15" customHeight="1" thickBot="1">
      <c r="A1" s="319"/>
      <c r="B1" s="263"/>
      <c r="C1" s="263"/>
      <c r="D1" s="134"/>
      <c r="E1" s="134"/>
      <c r="F1" s="134"/>
      <c r="G1" s="293"/>
      <c r="H1" s="293"/>
      <c r="I1" s="293"/>
      <c r="J1" s="264"/>
      <c r="K1" s="255"/>
      <c r="L1" s="255"/>
      <c r="M1" s="255"/>
      <c r="N1" s="255"/>
      <c r="O1" s="255"/>
      <c r="P1" s="255"/>
      <c r="Q1" s="255"/>
      <c r="R1" s="255"/>
      <c r="S1" s="255"/>
      <c r="T1" s="255"/>
      <c r="U1" s="255"/>
      <c r="V1" s="255"/>
      <c r="W1" s="255"/>
      <c r="X1" s="255"/>
      <c r="Y1" s="255"/>
      <c r="Z1" s="255"/>
      <c r="AA1" s="255"/>
      <c r="AB1" s="255"/>
      <c r="AC1" s="255"/>
      <c r="AD1" s="255"/>
      <c r="AE1" s="255"/>
      <c r="AF1" s="255"/>
      <c r="AG1" s="255"/>
    </row>
    <row r="2" spans="1:33" ht="23.25" customHeight="1">
      <c r="A2" s="534" t="s">
        <v>966</v>
      </c>
      <c r="B2" s="320" t="s">
        <v>896</v>
      </c>
      <c r="C2" s="269"/>
      <c r="D2" s="269"/>
      <c r="E2" s="269"/>
      <c r="F2" s="269"/>
      <c r="G2" s="174" t="s">
        <v>12</v>
      </c>
      <c r="H2" s="728" t="str">
        <f>'Data Entry Sheet'!D5</f>
        <v>26 Church Lane</v>
      </c>
      <c r="I2" s="729"/>
      <c r="J2" s="264"/>
      <c r="K2" s="255"/>
      <c r="L2" s="255"/>
      <c r="M2" s="255"/>
      <c r="N2" s="255"/>
      <c r="O2" s="255"/>
      <c r="P2" s="255"/>
      <c r="Q2" s="255"/>
      <c r="R2" s="255"/>
      <c r="S2" s="255"/>
      <c r="T2" s="255"/>
      <c r="U2" s="255"/>
      <c r="V2" s="255"/>
      <c r="W2" s="255"/>
      <c r="X2" s="255"/>
      <c r="Y2" s="255"/>
      <c r="Z2" s="255"/>
      <c r="AA2" s="255"/>
      <c r="AB2" s="255"/>
      <c r="AC2" s="255"/>
      <c r="AD2" s="255"/>
      <c r="AE2" s="255"/>
      <c r="AF2" s="255"/>
      <c r="AG2" s="255"/>
    </row>
    <row r="3" spans="1:33">
      <c r="A3" s="272"/>
      <c r="B3" s="299" t="s">
        <v>923</v>
      </c>
      <c r="C3" s="269"/>
      <c r="D3" s="269"/>
      <c r="E3" s="269"/>
      <c r="F3" s="269"/>
      <c r="G3" s="175" t="s">
        <v>236</v>
      </c>
      <c r="H3" s="730" t="str">
        <f>'Data Entry Sheet'!D6</f>
        <v>Egensys Ltd</v>
      </c>
      <c r="I3" s="731"/>
      <c r="J3" s="264"/>
      <c r="K3" s="255"/>
      <c r="L3" s="255"/>
      <c r="M3" s="255"/>
      <c r="N3" s="255"/>
      <c r="O3" s="255"/>
      <c r="P3" s="255"/>
      <c r="Q3" s="255"/>
      <c r="R3" s="255"/>
      <c r="S3" s="255"/>
      <c r="T3" s="255"/>
      <c r="U3" s="255"/>
      <c r="V3" s="255"/>
      <c r="W3" s="255"/>
      <c r="X3" s="255"/>
      <c r="Y3" s="255"/>
      <c r="Z3" s="255"/>
      <c r="AA3" s="255"/>
      <c r="AB3" s="255"/>
      <c r="AC3" s="255"/>
      <c r="AD3" s="255"/>
      <c r="AE3" s="255"/>
      <c r="AF3" s="255"/>
      <c r="AG3" s="255"/>
    </row>
    <row r="4" spans="1:33" ht="15.75" thickBot="1">
      <c r="A4" s="272"/>
      <c r="B4" s="269"/>
      <c r="C4" s="269"/>
      <c r="D4" s="321"/>
      <c r="E4" s="269"/>
      <c r="F4" s="269"/>
      <c r="G4" s="176" t="s">
        <v>13</v>
      </c>
      <c r="H4" s="732" t="str">
        <f>'Data Entry Sheet'!D7</f>
        <v>H17.176</v>
      </c>
      <c r="I4" s="733"/>
      <c r="J4" s="264"/>
      <c r="K4" s="255"/>
      <c r="L4" s="255"/>
      <c r="M4" s="255"/>
      <c r="N4" s="255"/>
      <c r="O4" s="255"/>
      <c r="P4" s="255"/>
      <c r="Q4" s="255"/>
      <c r="R4" s="255"/>
      <c r="S4" s="255"/>
      <c r="T4" s="255"/>
      <c r="U4" s="255"/>
      <c r="V4" s="255"/>
      <c r="W4" s="255"/>
      <c r="X4" s="255"/>
      <c r="Y4" s="255"/>
      <c r="Z4" s="255"/>
      <c r="AA4" s="255"/>
      <c r="AB4" s="255"/>
      <c r="AC4" s="255"/>
      <c r="AD4" s="255"/>
      <c r="AE4" s="255"/>
      <c r="AF4" s="255"/>
      <c r="AG4" s="255"/>
    </row>
    <row r="5" spans="1:33" ht="15" customHeight="1">
      <c r="A5" s="562"/>
      <c r="B5" s="562"/>
      <c r="C5" s="562"/>
      <c r="D5" s="562"/>
      <c r="F5" s="562"/>
      <c r="G5" s="516"/>
      <c r="J5" s="264"/>
      <c r="K5" s="255"/>
      <c r="L5" s="255"/>
      <c r="M5" s="255"/>
      <c r="N5" s="255"/>
      <c r="O5" s="255"/>
      <c r="P5" s="255"/>
      <c r="Q5" s="255"/>
      <c r="R5" s="255"/>
      <c r="S5" s="255"/>
      <c r="T5" s="255"/>
      <c r="U5" s="255"/>
      <c r="V5" s="255"/>
      <c r="W5" s="255"/>
      <c r="X5" s="255"/>
      <c r="Y5" s="255"/>
      <c r="Z5" s="255"/>
      <c r="AA5" s="255"/>
      <c r="AB5" s="255"/>
      <c r="AC5" s="255"/>
      <c r="AD5" s="255"/>
      <c r="AE5" s="255"/>
      <c r="AF5" s="255"/>
      <c r="AG5" s="255"/>
    </row>
    <row r="6" spans="1:33" ht="15" customHeight="1" thickBot="1">
      <c r="A6" s="562"/>
      <c r="B6" s="562"/>
      <c r="C6" s="562"/>
      <c r="D6" s="562"/>
      <c r="E6" s="562" t="s">
        <v>1039</v>
      </c>
      <c r="F6" s="562"/>
      <c r="G6" s="516"/>
      <c r="H6" s="562"/>
      <c r="I6" s="562"/>
      <c r="J6" s="264"/>
      <c r="K6" s="255"/>
      <c r="L6" s="255"/>
      <c r="M6" s="255"/>
      <c r="N6" s="255"/>
      <c r="O6" s="255"/>
      <c r="P6" s="255"/>
      <c r="Q6" s="255"/>
      <c r="R6" s="255"/>
      <c r="S6" s="255"/>
      <c r="T6" s="255"/>
      <c r="U6" s="255"/>
      <c r="V6" s="255"/>
      <c r="W6" s="255"/>
      <c r="X6" s="255"/>
      <c r="Y6" s="255"/>
      <c r="Z6" s="255"/>
      <c r="AA6" s="255"/>
      <c r="AB6" s="255"/>
      <c r="AC6" s="255"/>
      <c r="AD6" s="255"/>
      <c r="AE6" s="255"/>
      <c r="AF6" s="255"/>
      <c r="AG6" s="255"/>
    </row>
    <row r="7" spans="1:33" ht="15" customHeight="1" thickBot="1">
      <c r="A7" s="329" t="s">
        <v>1095</v>
      </c>
      <c r="B7" s="612">
        <v>0</v>
      </c>
      <c r="C7" s="274" t="s">
        <v>1097</v>
      </c>
      <c r="D7" s="299"/>
      <c r="E7" s="299"/>
      <c r="F7" s="269"/>
      <c r="G7" s="516"/>
      <c r="H7" s="516"/>
      <c r="I7" s="516"/>
      <c r="J7" s="264"/>
      <c r="K7" s="255"/>
      <c r="L7" s="255"/>
      <c r="M7" s="255"/>
      <c r="N7" s="255"/>
      <c r="O7" s="255"/>
      <c r="P7" s="255"/>
      <c r="Q7" s="255"/>
      <c r="R7" s="255"/>
      <c r="S7" s="255"/>
      <c r="T7" s="255"/>
      <c r="U7" s="255"/>
      <c r="V7" s="255"/>
      <c r="W7" s="255"/>
      <c r="X7" s="255"/>
      <c r="Y7" s="255"/>
      <c r="Z7" s="255"/>
      <c r="AA7" s="255"/>
      <c r="AB7" s="255"/>
      <c r="AC7" s="255"/>
      <c r="AD7" s="255"/>
      <c r="AE7" s="255"/>
      <c r="AF7" s="255"/>
      <c r="AG7" s="255"/>
    </row>
    <row r="8" spans="1:33" ht="15" customHeight="1">
      <c r="A8" s="329" t="s">
        <v>1096</v>
      </c>
      <c r="B8" s="612">
        <v>0</v>
      </c>
      <c r="C8" s="274" t="s">
        <v>1097</v>
      </c>
      <c r="D8" s="327" t="s">
        <v>684</v>
      </c>
      <c r="E8" s="11" t="s">
        <v>85</v>
      </c>
      <c r="F8" s="321"/>
      <c r="G8" s="274"/>
      <c r="H8" s="327" t="s">
        <v>249</v>
      </c>
      <c r="I8" s="531">
        <f>VLOOKUP(H8,A216:K225,HLOOKUP('Data Entry Sheet'!I28,A216:K225,2,FALSE),FALSE)</f>
        <v>1.002630388520162</v>
      </c>
      <c r="J8" s="264"/>
      <c r="K8" s="255"/>
      <c r="L8" s="255"/>
      <c r="M8" s="255"/>
      <c r="N8" s="255"/>
      <c r="O8" s="255"/>
      <c r="P8" s="255"/>
      <c r="Q8" s="255"/>
      <c r="R8" s="255"/>
      <c r="S8" s="255"/>
      <c r="T8" s="255"/>
      <c r="U8" s="255"/>
      <c r="V8" s="255"/>
      <c r="W8" s="255"/>
      <c r="X8" s="255"/>
      <c r="Y8" s="255"/>
      <c r="Z8" s="255"/>
      <c r="AA8" s="255"/>
      <c r="AB8" s="255"/>
      <c r="AC8" s="255"/>
      <c r="AD8" s="255"/>
      <c r="AE8" s="255"/>
      <c r="AF8" s="255"/>
      <c r="AG8" s="255"/>
    </row>
    <row r="9" spans="1:33" ht="15.75" thickBot="1">
      <c r="A9" s="329" t="s">
        <v>1094</v>
      </c>
      <c r="B9" s="164">
        <f>((B7+B8)/(24*VLOOKUP('MCS calc and run costs '!B2,'MCS calc and run costs '!A68:B76,2,FALSE)))*(21-'Data Entry Sheet'!D32)</f>
        <v>0</v>
      </c>
      <c r="C9" s="274" t="s">
        <v>200</v>
      </c>
      <c r="D9" s="321"/>
      <c r="E9" s="321"/>
      <c r="F9" s="321"/>
      <c r="G9" s="321"/>
      <c r="H9" s="321"/>
      <c r="I9" s="321"/>
      <c r="J9" s="264"/>
      <c r="K9" s="255"/>
      <c r="L9" s="255"/>
      <c r="M9" s="255"/>
      <c r="N9" s="255"/>
      <c r="O9" s="255"/>
      <c r="P9" s="255"/>
      <c r="Q9" s="255"/>
      <c r="R9" s="255"/>
      <c r="S9" s="255"/>
      <c r="T9" s="255"/>
      <c r="U9" s="255"/>
      <c r="V9" s="255"/>
      <c r="W9" s="255"/>
      <c r="X9" s="255"/>
      <c r="Y9" s="255"/>
      <c r="Z9" s="255"/>
      <c r="AA9" s="255"/>
      <c r="AB9" s="255"/>
      <c r="AC9" s="255"/>
      <c r="AD9" s="255"/>
      <c r="AE9" s="255"/>
      <c r="AF9" s="255"/>
      <c r="AG9" s="255"/>
    </row>
    <row r="10" spans="1:33" ht="15.75" thickBot="1">
      <c r="A10" s="274"/>
      <c r="B10" s="274"/>
      <c r="C10" s="274"/>
      <c r="D10" s="328" t="s">
        <v>922</v>
      </c>
      <c r="E10" s="261" t="str">
        <f>'Data Entry Sheet'!I31</f>
        <v>Heating and Hot Water</v>
      </c>
      <c r="F10" s="321"/>
      <c r="G10" s="274"/>
      <c r="H10" s="327" t="s">
        <v>228</v>
      </c>
      <c r="I10" s="531">
        <f>IF(E10="System Hybrid",(VLOOKUP(E12,A115:D126,4,FALSE)))+IF(E10="Combi Hybrid",(VLOOKUP(E12,A115:D126,4,FALSE)),0)</f>
        <v>0</v>
      </c>
      <c r="J10" s="264"/>
      <c r="K10" s="255"/>
      <c r="L10" s="255"/>
      <c r="M10" s="255"/>
      <c r="N10" s="255"/>
      <c r="O10" s="255"/>
      <c r="P10" s="255"/>
      <c r="Q10" s="255"/>
      <c r="R10" s="255"/>
      <c r="S10" s="255"/>
      <c r="T10" s="255"/>
      <c r="U10" s="255"/>
      <c r="V10" s="255"/>
      <c r="W10" s="255"/>
      <c r="X10" s="255"/>
      <c r="Y10" s="255"/>
      <c r="Z10" s="255"/>
      <c r="AA10" s="255"/>
      <c r="AB10" s="255"/>
      <c r="AC10" s="255"/>
      <c r="AD10" s="255"/>
      <c r="AE10" s="255"/>
      <c r="AF10" s="255"/>
      <c r="AG10" s="255"/>
    </row>
    <row r="11" spans="1:33" ht="15.75" thickBot="1">
      <c r="A11" s="324" t="s">
        <v>918</v>
      </c>
      <c r="B11" s="258">
        <v>0</v>
      </c>
      <c r="C11" s="274"/>
      <c r="D11" s="321"/>
      <c r="E11" s="321"/>
      <c r="F11" s="321"/>
      <c r="G11" s="274"/>
      <c r="H11" s="321"/>
      <c r="I11" s="321"/>
      <c r="J11" s="264"/>
      <c r="K11" s="255"/>
      <c r="L11" s="255"/>
      <c r="M11" s="255"/>
      <c r="N11" s="255"/>
      <c r="O11" s="255"/>
      <c r="P11" s="255"/>
      <c r="Q11" s="255"/>
      <c r="R11" s="255"/>
      <c r="S11" s="255"/>
      <c r="T11" s="255"/>
      <c r="U11" s="255"/>
      <c r="V11" s="255"/>
      <c r="W11" s="255"/>
      <c r="X11" s="255"/>
      <c r="Y11" s="255"/>
      <c r="Z11" s="255"/>
      <c r="AA11" s="255"/>
      <c r="AB11" s="255"/>
      <c r="AC11" s="255"/>
      <c r="AD11" s="255"/>
      <c r="AE11" s="255"/>
      <c r="AF11" s="255"/>
      <c r="AG11" s="255"/>
    </row>
    <row r="12" spans="1:33" ht="15.75" thickBot="1">
      <c r="A12" s="324" t="s">
        <v>921</v>
      </c>
      <c r="B12" s="164">
        <f>B11*(21-'Data Entry Sheet'!D32)/1000</f>
        <v>0</v>
      </c>
      <c r="C12" s="274" t="s">
        <v>200</v>
      </c>
      <c r="D12" s="734" t="s">
        <v>951</v>
      </c>
      <c r="E12" s="603" t="str">
        <f>'Data Entry Sheet'!I32</f>
        <v>not a hybrid</v>
      </c>
      <c r="F12" s="321"/>
      <c r="G12" s="274"/>
      <c r="H12" s="327" t="s">
        <v>953</v>
      </c>
      <c r="I12" s="33">
        <f>1+E16</f>
        <v>1.0507687471422038</v>
      </c>
      <c r="J12" s="264"/>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row>
    <row r="13" spans="1:33" ht="18" customHeight="1" thickBot="1">
      <c r="A13" s="325"/>
      <c r="B13" s="269"/>
      <c r="C13" s="274"/>
      <c r="D13" s="734"/>
      <c r="E13" s="269"/>
      <c r="F13" s="274"/>
      <c r="G13" s="274"/>
      <c r="H13" s="321"/>
      <c r="I13" s="321"/>
      <c r="J13" s="264"/>
      <c r="K13" s="255"/>
      <c r="L13" s="255"/>
      <c r="M13" s="255"/>
      <c r="N13" s="255"/>
      <c r="O13" s="255"/>
      <c r="P13" s="255"/>
      <c r="Q13" s="255"/>
      <c r="R13" s="255"/>
      <c r="S13" s="255"/>
      <c r="T13" s="255"/>
      <c r="U13" s="255"/>
      <c r="V13" s="255"/>
      <c r="W13" s="255"/>
      <c r="X13" s="255"/>
      <c r="Y13" s="255"/>
      <c r="Z13" s="255"/>
      <c r="AA13" s="255"/>
      <c r="AB13" s="255"/>
      <c r="AC13" s="255"/>
      <c r="AD13" s="255"/>
      <c r="AE13" s="255"/>
      <c r="AF13" s="255"/>
      <c r="AG13" s="255"/>
    </row>
    <row r="14" spans="1:33" ht="17.25" customHeight="1" thickBot="1">
      <c r="A14" s="324" t="s">
        <v>917</v>
      </c>
      <c r="B14" s="259">
        <v>0</v>
      </c>
      <c r="C14" s="613" t="s">
        <v>200</v>
      </c>
      <c r="D14" s="328" t="s">
        <v>920</v>
      </c>
      <c r="E14" s="257">
        <f>IF(B16=0,B14,IF(B16+B14=0,B12,IF(B16+B14+B12=0,B9,B16)))</f>
        <v>6.4629997995215307</v>
      </c>
      <c r="F14" s="274" t="s">
        <v>200</v>
      </c>
      <c r="G14" s="274"/>
      <c r="H14" s="348" t="s">
        <v>206</v>
      </c>
      <c r="I14" s="617">
        <f>I8+I10</f>
        <v>1.002630388520162</v>
      </c>
      <c r="J14" s="264"/>
      <c r="K14" s="255"/>
      <c r="L14" s="255"/>
      <c r="M14" s="255"/>
      <c r="N14" s="255"/>
      <c r="O14" s="255"/>
      <c r="P14" s="255"/>
      <c r="Q14" s="255"/>
      <c r="R14" s="255"/>
      <c r="S14" s="255"/>
      <c r="T14" s="255"/>
      <c r="U14" s="255"/>
      <c r="V14" s="255"/>
      <c r="W14" s="255"/>
      <c r="X14" s="255"/>
      <c r="Y14" s="255"/>
      <c r="Z14" s="255"/>
      <c r="AA14" s="255"/>
      <c r="AB14" s="255"/>
      <c r="AC14" s="255"/>
      <c r="AD14" s="255"/>
      <c r="AE14" s="255"/>
      <c r="AF14" s="255"/>
      <c r="AG14" s="255"/>
    </row>
    <row r="15" spans="1:33" ht="15.75" thickBot="1">
      <c r="A15" s="516"/>
      <c r="B15" s="516"/>
      <c r="C15" s="516"/>
      <c r="D15" s="516"/>
      <c r="E15" s="516"/>
      <c r="F15" s="516"/>
      <c r="G15" s="516"/>
      <c r="H15" s="516"/>
      <c r="I15" s="516"/>
      <c r="J15" s="264"/>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row>
    <row r="16" spans="1:33" ht="26.25" thickBot="1">
      <c r="A16" s="618" t="s">
        <v>919</v>
      </c>
      <c r="B16" s="615">
        <f>'Heat Loss Calculator'!G3/1000</f>
        <v>6.4629997995215307</v>
      </c>
      <c r="C16" s="614" t="s">
        <v>200</v>
      </c>
      <c r="D16" s="619" t="s">
        <v>961</v>
      </c>
      <c r="E16" s="616">
        <f>IF(E10="Heating and Hot Water",C61/(24*60),0)</f>
        <v>5.0768747142203918E-2</v>
      </c>
      <c r="F16" s="274"/>
      <c r="G16" s="274"/>
      <c r="H16" s="620" t="s">
        <v>205</v>
      </c>
      <c r="I16" s="621" t="str">
        <f>+IF(I8+I10&lt;I12," No Not MCS","Yes")</f>
        <v xml:space="preserve"> No Not MCS</v>
      </c>
      <c r="J16" s="264"/>
      <c r="K16" s="255"/>
      <c r="L16" s="255"/>
      <c r="M16" s="255"/>
      <c r="N16" s="255"/>
      <c r="O16" s="255"/>
      <c r="P16" s="255"/>
      <c r="Q16" s="255"/>
      <c r="R16" s="255"/>
      <c r="S16" s="255"/>
      <c r="T16" s="255"/>
      <c r="U16" s="255"/>
      <c r="V16" s="255"/>
      <c r="W16" s="255"/>
      <c r="X16" s="255"/>
      <c r="Y16" s="255"/>
      <c r="Z16" s="255"/>
      <c r="AA16" s="255"/>
      <c r="AB16" s="255"/>
      <c r="AC16" s="255"/>
      <c r="AD16" s="255"/>
      <c r="AE16" s="255"/>
      <c r="AF16" s="255"/>
      <c r="AG16" s="255"/>
    </row>
    <row r="17" spans="1:33">
      <c r="A17" s="326"/>
      <c r="B17" s="446"/>
      <c r="C17" s="321"/>
      <c r="D17" s="269"/>
      <c r="E17" s="274"/>
      <c r="F17" s="274"/>
      <c r="G17" s="269"/>
      <c r="H17" s="269"/>
      <c r="I17" s="269"/>
      <c r="J17" s="264"/>
      <c r="K17" s="255"/>
      <c r="L17" s="255"/>
      <c r="M17" s="255"/>
      <c r="N17" s="255"/>
      <c r="O17" s="255"/>
      <c r="P17" s="255"/>
      <c r="Q17" s="255"/>
      <c r="R17" s="255"/>
      <c r="S17" s="255"/>
      <c r="T17" s="255"/>
      <c r="U17" s="255"/>
      <c r="V17" s="255"/>
      <c r="W17" s="255"/>
      <c r="X17" s="255"/>
      <c r="Y17" s="255"/>
      <c r="Z17" s="255"/>
      <c r="AA17" s="255"/>
      <c r="AB17" s="255"/>
      <c r="AC17" s="255"/>
      <c r="AD17" s="255"/>
      <c r="AE17" s="255"/>
      <c r="AF17" s="255"/>
      <c r="AG17" s="255"/>
    </row>
    <row r="18" spans="1:33">
      <c r="A18" s="272"/>
      <c r="B18" s="274"/>
      <c r="C18" s="274"/>
      <c r="D18" s="274"/>
      <c r="E18" s="274"/>
      <c r="F18" s="274"/>
      <c r="G18" s="274"/>
      <c r="H18" s="274"/>
      <c r="I18" s="274"/>
      <c r="J18" s="264"/>
      <c r="K18" s="255"/>
      <c r="L18" s="255"/>
      <c r="M18" s="255"/>
      <c r="N18" s="255"/>
      <c r="O18" s="255"/>
      <c r="P18" s="255"/>
      <c r="Q18" s="255"/>
      <c r="R18" s="255"/>
      <c r="S18" s="255"/>
      <c r="T18" s="255"/>
      <c r="U18" s="255"/>
      <c r="V18" s="255"/>
      <c r="W18" s="255"/>
      <c r="X18" s="255"/>
      <c r="Y18" s="255"/>
      <c r="Z18" s="255"/>
      <c r="AA18" s="255"/>
      <c r="AB18" s="255"/>
      <c r="AC18" s="255"/>
      <c r="AD18" s="255"/>
      <c r="AE18" s="255"/>
      <c r="AF18" s="255"/>
      <c r="AG18" s="255"/>
    </row>
    <row r="19" spans="1:33">
      <c r="A19" s="272"/>
      <c r="B19" s="274"/>
      <c r="C19" s="274"/>
      <c r="D19" s="274"/>
      <c r="E19" s="274"/>
      <c r="F19" s="274"/>
      <c r="G19" s="274"/>
      <c r="H19" s="274"/>
      <c r="I19" s="274"/>
      <c r="J19" s="264"/>
      <c r="K19" s="255"/>
      <c r="L19" s="255"/>
      <c r="N19" s="255"/>
      <c r="O19" s="255"/>
      <c r="P19" s="255"/>
      <c r="Q19" s="255"/>
      <c r="R19" s="255"/>
      <c r="S19" s="255"/>
      <c r="T19" s="255"/>
      <c r="U19" s="255"/>
      <c r="V19" s="255"/>
      <c r="W19" s="255"/>
      <c r="X19" s="255"/>
      <c r="Y19" s="255"/>
      <c r="Z19" s="255"/>
      <c r="AA19" s="255"/>
      <c r="AB19" s="255"/>
      <c r="AC19" s="255"/>
      <c r="AD19" s="255"/>
      <c r="AE19" s="255"/>
      <c r="AF19" s="255"/>
      <c r="AG19" s="255"/>
    </row>
    <row r="20" spans="1:33">
      <c r="A20" s="272"/>
      <c r="B20" s="274"/>
      <c r="C20" s="274"/>
      <c r="D20" s="274"/>
      <c r="E20" s="274"/>
      <c r="F20" s="274"/>
      <c r="G20" s="274"/>
      <c r="H20" s="274"/>
      <c r="I20" s="274"/>
      <c r="J20" s="264"/>
      <c r="K20" s="255"/>
      <c r="L20" s="255"/>
      <c r="N20" s="255"/>
      <c r="O20" s="255"/>
      <c r="P20" s="255"/>
      <c r="Q20" s="255"/>
      <c r="R20" s="255"/>
      <c r="S20" s="255"/>
      <c r="T20" s="255"/>
      <c r="U20" s="255"/>
      <c r="V20" s="255"/>
      <c r="W20" s="255"/>
      <c r="X20" s="255"/>
      <c r="Y20" s="255"/>
      <c r="Z20" s="255"/>
      <c r="AA20" s="255"/>
      <c r="AB20" s="255"/>
      <c r="AC20" s="255"/>
      <c r="AD20" s="255"/>
      <c r="AE20" s="255"/>
      <c r="AF20" s="255"/>
      <c r="AG20" s="255"/>
    </row>
    <row r="21" spans="1:33">
      <c r="A21" s="272"/>
      <c r="B21" s="274"/>
      <c r="C21" s="274"/>
      <c r="D21" s="274"/>
      <c r="E21" s="274"/>
      <c r="F21" s="274"/>
      <c r="G21" s="274"/>
      <c r="H21" s="274"/>
      <c r="I21" s="274"/>
      <c r="J21" s="264"/>
      <c r="K21" s="255"/>
      <c r="L21" s="255"/>
      <c r="M21" s="255"/>
      <c r="N21" s="255"/>
      <c r="O21" s="255"/>
      <c r="P21" s="255"/>
      <c r="Q21" s="255"/>
      <c r="R21" s="255"/>
      <c r="S21" s="255"/>
      <c r="T21" s="255"/>
      <c r="U21" s="255"/>
      <c r="V21" s="255"/>
      <c r="W21" s="255"/>
      <c r="X21" s="255"/>
      <c r="Y21" s="255"/>
      <c r="Z21" s="255"/>
      <c r="AA21" s="255"/>
      <c r="AB21" s="255"/>
      <c r="AC21" s="255"/>
      <c r="AD21" s="255"/>
      <c r="AE21" s="255"/>
      <c r="AF21" s="255"/>
      <c r="AG21" s="255"/>
    </row>
    <row r="22" spans="1:33" ht="16.5" customHeight="1">
      <c r="A22" s="272"/>
      <c r="B22" s="274"/>
      <c r="C22" s="274"/>
      <c r="D22" s="274"/>
      <c r="E22" s="274"/>
      <c r="F22" s="274"/>
      <c r="G22" s="274"/>
      <c r="H22" s="274"/>
      <c r="I22" s="274"/>
      <c r="J22" s="264"/>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row>
    <row r="23" spans="1:33" ht="15" customHeight="1">
      <c r="A23" s="272"/>
      <c r="B23" s="274"/>
      <c r="C23" s="274"/>
      <c r="D23" s="274"/>
      <c r="E23" s="274"/>
      <c r="F23" s="274"/>
      <c r="G23" s="274"/>
      <c r="H23" s="274"/>
      <c r="I23" s="274"/>
      <c r="J23" s="264"/>
      <c r="K23" s="255"/>
      <c r="L23" s="256"/>
      <c r="N23" s="255"/>
      <c r="O23" s="255"/>
      <c r="P23" s="255"/>
      <c r="Q23" s="255"/>
      <c r="R23" s="255"/>
      <c r="S23" s="255"/>
      <c r="T23" s="255"/>
      <c r="U23" s="255"/>
      <c r="V23" s="255"/>
      <c r="W23" s="255"/>
      <c r="X23" s="255"/>
      <c r="Y23" s="255"/>
      <c r="Z23" s="255"/>
      <c r="AA23" s="255"/>
      <c r="AB23" s="255"/>
      <c r="AC23" s="255"/>
      <c r="AD23" s="255"/>
      <c r="AE23" s="255"/>
      <c r="AF23" s="255"/>
      <c r="AG23" s="255"/>
    </row>
    <row r="24" spans="1:33">
      <c r="A24" s="272"/>
      <c r="B24" s="274"/>
      <c r="C24" s="274"/>
      <c r="D24" s="274"/>
      <c r="E24" s="274"/>
      <c r="F24" s="274"/>
      <c r="G24" s="274"/>
      <c r="H24" s="274"/>
      <c r="I24" s="274"/>
      <c r="J24" s="264"/>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row>
    <row r="25" spans="1:33" ht="15" customHeight="1">
      <c r="A25" s="272"/>
      <c r="B25" s="274"/>
      <c r="C25" s="274"/>
      <c r="D25" s="274"/>
      <c r="E25" s="274"/>
      <c r="F25" s="274"/>
      <c r="G25" s="274"/>
      <c r="H25" s="274"/>
      <c r="I25" s="274"/>
      <c r="J25" s="264"/>
      <c r="K25" s="255"/>
      <c r="L25" s="256"/>
      <c r="M25" s="255"/>
      <c r="N25" s="255"/>
      <c r="O25" s="255"/>
      <c r="P25" s="255"/>
      <c r="Q25" s="255"/>
      <c r="R25" s="255"/>
      <c r="S25" s="255"/>
      <c r="T25" s="255"/>
      <c r="U25" s="255"/>
      <c r="V25" s="255"/>
      <c r="W25" s="255"/>
      <c r="X25" s="255"/>
      <c r="Y25" s="255"/>
      <c r="Z25" s="255"/>
      <c r="AA25" s="255"/>
      <c r="AB25" s="255"/>
      <c r="AC25" s="255"/>
      <c r="AD25" s="255"/>
      <c r="AE25" s="255"/>
      <c r="AF25" s="255"/>
      <c r="AG25" s="255"/>
    </row>
    <row r="26" spans="1:33">
      <c r="A26" s="272"/>
      <c r="B26" s="274"/>
      <c r="C26" s="274"/>
      <c r="D26" s="274"/>
      <c r="E26" s="274"/>
      <c r="F26" s="274"/>
      <c r="G26" s="274"/>
      <c r="H26" s="274"/>
      <c r="I26" s="274"/>
      <c r="J26" s="264"/>
      <c r="K26" s="255"/>
      <c r="L26" s="173"/>
      <c r="M26" s="173"/>
      <c r="O26" s="63"/>
      <c r="P26" s="63"/>
    </row>
    <row r="27" spans="1:33" ht="15" customHeight="1">
      <c r="A27" s="272"/>
      <c r="B27" s="274"/>
      <c r="C27" s="274"/>
      <c r="D27" s="274"/>
      <c r="E27" s="274"/>
      <c r="F27" s="274"/>
      <c r="G27" s="274"/>
      <c r="H27" s="274"/>
      <c r="I27" s="274"/>
      <c r="J27" s="264"/>
      <c r="K27" s="255"/>
      <c r="L27" s="177"/>
      <c r="M27" s="173"/>
      <c r="O27" s="63"/>
      <c r="P27" s="63"/>
    </row>
    <row r="28" spans="1:33">
      <c r="A28" s="272"/>
      <c r="B28" s="274"/>
      <c r="C28" s="274"/>
      <c r="D28" s="274"/>
      <c r="E28" s="274"/>
      <c r="F28" s="274"/>
      <c r="G28" s="274"/>
      <c r="H28" s="274"/>
      <c r="I28" s="274"/>
      <c r="J28" s="264"/>
      <c r="K28" s="255"/>
      <c r="L28" s="173"/>
      <c r="M28" s="173"/>
      <c r="O28" s="63"/>
      <c r="P28" s="63"/>
    </row>
    <row r="29" spans="1:33">
      <c r="A29" s="272"/>
      <c r="B29" s="274"/>
      <c r="C29" s="274"/>
      <c r="D29" s="274"/>
      <c r="E29" s="274"/>
      <c r="F29" s="274"/>
      <c r="G29" s="274"/>
      <c r="H29" s="274"/>
      <c r="I29" s="274"/>
      <c r="J29" s="264"/>
      <c r="K29" s="255"/>
      <c r="L29" s="173"/>
      <c r="M29" s="173"/>
      <c r="O29" s="63"/>
      <c r="P29" s="63"/>
    </row>
    <row r="30" spans="1:33">
      <c r="A30" s="272"/>
      <c r="B30" s="274"/>
      <c r="C30" s="274"/>
      <c r="D30" s="274"/>
      <c r="E30" s="274"/>
      <c r="F30" s="274"/>
      <c r="G30" s="274"/>
      <c r="H30" s="274"/>
      <c r="I30" s="274"/>
      <c r="J30" s="264"/>
      <c r="K30" s="255"/>
      <c r="L30" s="173"/>
      <c r="M30" s="173"/>
      <c r="O30" s="63"/>
      <c r="P30" s="63"/>
    </row>
    <row r="31" spans="1:33">
      <c r="A31" s="272"/>
      <c r="B31" s="274"/>
      <c r="C31" s="274"/>
      <c r="D31" s="274"/>
      <c r="E31" s="274"/>
      <c r="F31" s="274"/>
      <c r="G31" s="274"/>
      <c r="H31" s="274"/>
      <c r="I31" s="274"/>
      <c r="J31" s="264"/>
      <c r="K31" s="255"/>
      <c r="L31" s="173"/>
      <c r="M31" s="173"/>
      <c r="O31" s="63"/>
      <c r="P31" s="63"/>
    </row>
    <row r="32" spans="1:33">
      <c r="A32" s="272"/>
      <c r="B32" s="274"/>
      <c r="C32" s="274"/>
      <c r="D32" s="274"/>
      <c r="E32" s="274"/>
      <c r="F32" s="274"/>
      <c r="G32" s="274"/>
      <c r="H32" s="274"/>
      <c r="I32" s="274"/>
      <c r="J32" s="264"/>
      <c r="K32" s="255"/>
      <c r="L32" s="173"/>
      <c r="M32" s="173"/>
      <c r="O32" s="63"/>
      <c r="P32" s="63"/>
    </row>
    <row r="33" spans="1:16">
      <c r="A33" s="272"/>
      <c r="B33" s="274"/>
      <c r="C33" s="274"/>
      <c r="D33" s="274"/>
      <c r="E33" s="274"/>
      <c r="F33" s="274"/>
      <c r="G33" s="274"/>
      <c r="H33" s="274"/>
      <c r="I33" s="274"/>
      <c r="J33" s="264"/>
      <c r="K33" s="255"/>
      <c r="L33" s="173"/>
      <c r="M33" s="173"/>
      <c r="O33" s="63"/>
      <c r="P33" s="63"/>
    </row>
    <row r="34" spans="1:16">
      <c r="A34" s="272"/>
      <c r="B34" s="274"/>
      <c r="C34" s="274"/>
      <c r="D34" s="274"/>
      <c r="E34" s="274"/>
      <c r="F34" s="274"/>
      <c r="G34" s="274"/>
      <c r="H34" s="274"/>
      <c r="I34" s="274"/>
      <c r="J34" s="264"/>
      <c r="K34" s="255"/>
      <c r="L34" s="173"/>
      <c r="M34" s="178"/>
      <c r="N34" s="178"/>
      <c r="O34" s="63"/>
      <c r="P34" s="63"/>
    </row>
    <row r="35" spans="1:16">
      <c r="A35" s="272"/>
      <c r="B35" s="274"/>
      <c r="C35" s="274"/>
      <c r="D35" s="274"/>
      <c r="E35" s="274"/>
      <c r="F35" s="274"/>
      <c r="G35" s="274"/>
      <c r="H35" s="274"/>
      <c r="I35" s="274"/>
      <c r="J35" s="264"/>
      <c r="K35" s="255"/>
      <c r="L35" s="179"/>
      <c r="M35" s="178"/>
      <c r="N35" s="178"/>
      <c r="O35" s="63"/>
      <c r="P35" s="63"/>
    </row>
    <row r="36" spans="1:16">
      <c r="A36" s="272"/>
      <c r="B36" s="274"/>
      <c r="C36" s="274"/>
      <c r="D36" s="274"/>
      <c r="E36" s="274"/>
      <c r="F36" s="274"/>
      <c r="G36" s="274"/>
      <c r="H36" s="274"/>
      <c r="I36" s="274"/>
      <c r="J36" s="264"/>
      <c r="K36" s="255"/>
      <c r="L36" s="179"/>
      <c r="M36" s="178"/>
      <c r="N36" s="178"/>
      <c r="O36" s="63"/>
      <c r="P36" s="63"/>
    </row>
    <row r="37" spans="1:16">
      <c r="A37" s="272"/>
      <c r="B37" s="274"/>
      <c r="C37" s="274"/>
      <c r="D37" s="274"/>
      <c r="E37" s="274"/>
      <c r="F37" s="274"/>
      <c r="G37" s="274"/>
      <c r="H37" s="274"/>
      <c r="I37" s="274"/>
      <c r="J37" s="264"/>
      <c r="K37" s="255"/>
      <c r="L37" s="178"/>
      <c r="M37" s="180"/>
      <c r="N37" s="178"/>
      <c r="O37" s="63"/>
      <c r="P37" s="63"/>
    </row>
    <row r="38" spans="1:16">
      <c r="A38" s="272"/>
      <c r="B38" s="274"/>
      <c r="C38" s="274"/>
      <c r="D38" s="274"/>
      <c r="E38" s="274"/>
      <c r="F38" s="274"/>
      <c r="G38" s="274"/>
      <c r="H38" s="274"/>
      <c r="I38" s="274"/>
      <c r="J38" s="264"/>
      <c r="K38" s="255"/>
      <c r="L38" s="178"/>
      <c r="M38" s="173"/>
      <c r="O38" s="63"/>
      <c r="P38" s="63"/>
    </row>
    <row r="39" spans="1:16">
      <c r="A39" s="272"/>
      <c r="B39" s="274"/>
      <c r="C39" s="274"/>
      <c r="D39" s="274"/>
      <c r="E39" s="274"/>
      <c r="F39" s="274"/>
      <c r="G39" s="274"/>
      <c r="H39" s="274"/>
      <c r="I39" s="274"/>
      <c r="J39" s="264"/>
      <c r="K39" s="255"/>
      <c r="L39" s="173"/>
      <c r="M39" s="173"/>
      <c r="O39" s="63"/>
      <c r="P39" s="63"/>
    </row>
    <row r="40" spans="1:16">
      <c r="A40" s="272"/>
      <c r="B40" s="274"/>
      <c r="C40" s="274"/>
      <c r="D40" s="274"/>
      <c r="E40" s="274"/>
      <c r="F40" s="274"/>
      <c r="G40" s="274"/>
      <c r="H40" s="274"/>
      <c r="I40" s="274"/>
      <c r="J40" s="264"/>
      <c r="K40" s="255"/>
      <c r="L40" s="173"/>
      <c r="M40" s="173"/>
      <c r="O40" s="63"/>
      <c r="P40" s="63"/>
    </row>
    <row r="41" spans="1:16">
      <c r="A41" s="272"/>
      <c r="B41" s="274"/>
      <c r="C41" s="274"/>
      <c r="D41" s="274"/>
      <c r="E41" s="274"/>
      <c r="F41" s="274"/>
      <c r="G41" s="274"/>
      <c r="H41" s="274"/>
      <c r="I41" s="274"/>
      <c r="J41" s="264"/>
      <c r="K41" s="255"/>
      <c r="L41" s="173"/>
      <c r="M41" s="173"/>
      <c r="O41" s="63"/>
      <c r="P41" s="63"/>
    </row>
    <row r="42" spans="1:16">
      <c r="A42" s="272"/>
      <c r="B42" s="274"/>
      <c r="C42" s="274"/>
      <c r="D42" s="274"/>
      <c r="E42" s="274"/>
      <c r="F42" s="274"/>
      <c r="G42" s="274"/>
      <c r="H42" s="274"/>
      <c r="I42" s="274"/>
      <c r="J42" s="264"/>
      <c r="K42" s="255"/>
      <c r="L42" s="173"/>
      <c r="M42" s="173"/>
      <c r="O42" s="63"/>
      <c r="P42" s="63"/>
    </row>
    <row r="43" spans="1:16">
      <c r="A43" s="272"/>
      <c r="B43" s="274"/>
      <c r="C43" s="274"/>
      <c r="D43" s="274"/>
      <c r="E43" s="274"/>
      <c r="F43" s="274"/>
      <c r="G43" s="274"/>
      <c r="H43" s="274"/>
      <c r="I43" s="274"/>
      <c r="J43" s="264"/>
      <c r="K43" s="255"/>
      <c r="L43" s="173"/>
      <c r="M43" s="173"/>
      <c r="O43" s="63"/>
      <c r="P43" s="63"/>
    </row>
    <row r="44" spans="1:16">
      <c r="A44" s="272"/>
      <c r="B44" s="274"/>
      <c r="C44" s="274"/>
      <c r="D44" s="274"/>
      <c r="E44" s="274"/>
      <c r="F44" s="274"/>
      <c r="G44" s="274"/>
      <c r="H44" s="274"/>
      <c r="I44" s="274"/>
      <c r="J44" s="264"/>
      <c r="K44" s="255"/>
      <c r="L44" s="173"/>
      <c r="M44" s="173"/>
      <c r="O44" s="63"/>
      <c r="P44" s="63"/>
    </row>
    <row r="45" spans="1:16">
      <c r="A45" s="272"/>
      <c r="B45" s="274"/>
      <c r="C45" s="274"/>
      <c r="D45" s="274"/>
      <c r="E45" s="274"/>
      <c r="F45" s="274"/>
      <c r="G45" s="274"/>
      <c r="H45" s="274"/>
      <c r="I45" s="274"/>
      <c r="J45" s="264"/>
      <c r="K45" s="255"/>
      <c r="L45" s="173"/>
      <c r="M45" s="173"/>
      <c r="O45" s="63"/>
      <c r="P45" s="63"/>
    </row>
    <row r="46" spans="1:16" s="173" customFormat="1">
      <c r="A46" s="272"/>
      <c r="B46" s="274"/>
      <c r="C46" s="274"/>
      <c r="D46" s="274"/>
      <c r="E46" s="274"/>
      <c r="F46" s="274"/>
      <c r="G46" s="274"/>
      <c r="H46" s="274"/>
      <c r="I46" s="274"/>
      <c r="J46" s="264"/>
      <c r="K46" s="255"/>
    </row>
    <row r="47" spans="1:16" s="173" customFormat="1">
      <c r="A47" s="272"/>
      <c r="B47" s="274"/>
      <c r="C47" s="274"/>
      <c r="D47" s="274"/>
      <c r="E47" s="274"/>
      <c r="F47" s="274"/>
      <c r="G47" s="274"/>
      <c r="H47" s="274"/>
      <c r="I47" s="274"/>
      <c r="J47" s="264"/>
      <c r="K47" s="255"/>
    </row>
    <row r="48" spans="1:16" s="173" customFormat="1">
      <c r="A48" s="272"/>
      <c r="B48" s="274"/>
      <c r="C48" s="274"/>
      <c r="D48" s="274"/>
      <c r="E48" s="274"/>
      <c r="F48" s="274"/>
      <c r="G48" s="274"/>
      <c r="H48" s="274"/>
      <c r="I48" s="274"/>
      <c r="J48" s="264"/>
      <c r="K48" s="255"/>
    </row>
    <row r="49" spans="1:14" s="173" customFormat="1">
      <c r="A49" s="272"/>
      <c r="B49" s="274"/>
      <c r="C49" s="274"/>
      <c r="D49" s="274"/>
      <c r="E49" s="274"/>
      <c r="F49" s="274"/>
      <c r="G49" s="274"/>
      <c r="H49" s="274"/>
      <c r="I49" s="274"/>
      <c r="J49" s="264"/>
      <c r="K49" s="255"/>
    </row>
    <row r="50" spans="1:14" s="173" customFormat="1">
      <c r="A50" s="536"/>
      <c r="B50" s="274"/>
      <c r="C50" s="274"/>
      <c r="D50" s="274"/>
      <c r="E50" s="274"/>
      <c r="F50" s="274"/>
      <c r="G50" s="274"/>
      <c r="H50" s="274"/>
      <c r="I50" s="274"/>
      <c r="J50" s="264"/>
      <c r="K50" s="255"/>
    </row>
    <row r="51" spans="1:14" s="173" customFormat="1" ht="24" thickBot="1">
      <c r="A51" s="727" t="s">
        <v>949</v>
      </c>
      <c r="B51" s="727"/>
      <c r="C51" s="274"/>
      <c r="D51" s="274"/>
      <c r="E51" s="269"/>
      <c r="F51" s="727" t="s">
        <v>937</v>
      </c>
      <c r="G51" s="727"/>
      <c r="H51" s="274"/>
      <c r="I51" s="274"/>
      <c r="J51" s="264"/>
      <c r="K51" s="255"/>
    </row>
    <row r="52" spans="1:14" s="173" customFormat="1" ht="15" hidden="1" customHeight="1" thickBot="1">
      <c r="A52" s="725" t="s">
        <v>950</v>
      </c>
      <c r="B52" s="726"/>
      <c r="C52" s="622">
        <f>HLOOKUP(E8,A127:AA135,4,FALSE)</f>
        <v>6.48</v>
      </c>
      <c r="D52" s="274" t="s">
        <v>200</v>
      </c>
      <c r="E52" s="330"/>
      <c r="F52" s="330"/>
      <c r="G52" s="330"/>
      <c r="H52" s="330"/>
      <c r="I52" s="330"/>
      <c r="J52" s="264"/>
      <c r="K52" s="255"/>
    </row>
    <row r="53" spans="1:14" s="173" customFormat="1" ht="15.75" thickBot="1">
      <c r="A53" s="725" t="s">
        <v>935</v>
      </c>
      <c r="B53" s="726"/>
      <c r="C53" s="517">
        <v>3</v>
      </c>
      <c r="D53" s="274" t="s">
        <v>61</v>
      </c>
      <c r="E53" s="331"/>
      <c r="F53" s="725" t="s">
        <v>576</v>
      </c>
      <c r="G53" s="726"/>
      <c r="H53" s="135">
        <f>(0.4*'Heat Loss Calculator'!G4)+'Heat Loss Calculator'!G15+'Heat Loss Calculator'!G47+'Heat Loss Calculator'!G79+'Heat Loss Calculator'!G111+'Heat Loss Calculator'!G143+'Heat Loss Calculator'!G175+'Heat Loss Calculator'!G207+'Heat Loss Calculator'!G239+'Heat Loss Calculator'!G271+'Heat Loss Calculator'!G303+'Heat Loss Calculator'!G335+'Heat Loss Calculator'!G367+'Heat Loss Calculator'!G399+'Heat Loss Calculator'!G431+'Heat Loss Calculator'!G463+'Heat Loss Calculator'!G495+'Heat Loss Calculator'!G527+'Heat Loss Calculator'!G559+'Heat Loss Calculator'!G591+'Heat Loss Calculator'!G623+'Heat Loss Calculator'!G655+'Heat Loss Calculator'!G687+'Heat Loss Calculator'!G719+'Heat Loss Calculator'!G751+'Heat Loss Calculator'!G783+'Heat Loss Calculator'!G815+'Heat Loss Calculator'!G847+'Heat Loss Calculator'!G879+'Heat Loss Calculator'!G911+'Heat Loss Calculator'!G943+'Heat Loss Calculator'!G975+'Heat Loss Calculator'!G1007+'Heat Loss Calculator'!G1039+'Heat Loss Calculator'!G1071+'Heat Loss Calculator'!G1103+'Heat Loss Calculator'!G1135+'Heat Loss Calculator'!G1167+'Heat Loss Calculator'!G1199</f>
        <v>187.41899999999987</v>
      </c>
      <c r="I53" s="274" t="s">
        <v>42</v>
      </c>
      <c r="J53" s="264"/>
      <c r="K53" s="255"/>
    </row>
    <row r="54" spans="1:14" s="173" customFormat="1" ht="15.75" hidden="1" thickBot="1">
      <c r="A54" s="725" t="s">
        <v>936</v>
      </c>
      <c r="B54" s="726"/>
      <c r="C54" s="310">
        <f>(3.24*C53)</f>
        <v>9.7200000000000006</v>
      </c>
      <c r="D54" s="274" t="s">
        <v>200</v>
      </c>
      <c r="E54" s="331"/>
      <c r="J54" s="264"/>
      <c r="K54" s="255"/>
    </row>
    <row r="55" spans="1:14" s="173" customFormat="1" ht="15.75" hidden="1" thickBot="1">
      <c r="A55" s="725" t="s">
        <v>948</v>
      </c>
      <c r="B55" s="726"/>
      <c r="C55" s="310">
        <f>IF(E10="Heating and Hot Water",+IF(C52&lt;C54,((C52)),(C54)),0)</f>
        <v>6.48</v>
      </c>
      <c r="D55" s="274" t="s">
        <v>200</v>
      </c>
      <c r="E55" s="331"/>
      <c r="J55" s="264"/>
      <c r="K55" s="255"/>
    </row>
    <row r="56" spans="1:14" s="173" customFormat="1" ht="15.75" hidden="1" thickBot="1">
      <c r="A56" s="725" t="s">
        <v>928</v>
      </c>
      <c r="B56" s="726"/>
      <c r="C56" s="310">
        <f>IF(E10="Heating and Hot Water",VLOOKUP('Data Entry Sheet'!D42,D107:E112,2,FALSE))*4.18*('Data Entry Sheet'!D43-10)</f>
        <v>28423.999999999996</v>
      </c>
      <c r="D56" s="274" t="s">
        <v>929</v>
      </c>
      <c r="E56" s="331"/>
      <c r="F56" s="331"/>
      <c r="G56" s="331"/>
      <c r="H56" s="331"/>
      <c r="I56" s="331"/>
      <c r="J56" s="264"/>
      <c r="K56" s="255"/>
    </row>
    <row r="57" spans="1:14" s="173" customFormat="1" ht="15.75" hidden="1" thickBot="1">
      <c r="A57" s="725" t="s">
        <v>930</v>
      </c>
      <c r="B57" s="726"/>
      <c r="C57" s="310">
        <f>C56-(C55*60*C59)</f>
        <v>-10456.000000000004</v>
      </c>
      <c r="D57" s="274" t="s">
        <v>929</v>
      </c>
      <c r="E57" s="331"/>
      <c r="F57" s="331"/>
      <c r="G57" s="331"/>
      <c r="H57" s="331"/>
      <c r="I57" s="331"/>
      <c r="J57" s="264"/>
      <c r="K57" s="255"/>
    </row>
    <row r="58" spans="1:14" s="173" customFormat="1" ht="18.75" customHeight="1" thickBot="1">
      <c r="A58" s="725" t="s">
        <v>931</v>
      </c>
      <c r="B58" s="726"/>
      <c r="C58" s="424">
        <v>3</v>
      </c>
      <c r="D58" s="274" t="s">
        <v>200</v>
      </c>
      <c r="E58" s="331"/>
      <c r="F58" s="725" t="s">
        <v>237</v>
      </c>
      <c r="G58" s="726"/>
      <c r="H58" s="313">
        <f>H53/4</f>
        <v>46.854749999999967</v>
      </c>
      <c r="I58" s="274" t="s">
        <v>42</v>
      </c>
      <c r="J58" s="264"/>
      <c r="K58" s="255"/>
    </row>
    <row r="59" spans="1:14" s="173" customFormat="1" ht="15.75" thickBot="1">
      <c r="A59" s="725" t="s">
        <v>932</v>
      </c>
      <c r="B59" s="726"/>
      <c r="C59" s="424">
        <v>100</v>
      </c>
      <c r="D59" s="274" t="s">
        <v>239</v>
      </c>
      <c r="E59" s="331"/>
      <c r="F59" s="725" t="s">
        <v>240</v>
      </c>
      <c r="G59" s="726"/>
      <c r="H59" s="313">
        <f>H53*0.057</f>
        <v>10.682882999999993</v>
      </c>
      <c r="I59" s="274" t="s">
        <v>42</v>
      </c>
      <c r="J59" s="264"/>
    </row>
    <row r="60" spans="1:14" s="173" customFormat="1" ht="19.5" hidden="1" customHeight="1" thickBot="1">
      <c r="A60" s="725" t="s">
        <v>933</v>
      </c>
      <c r="B60" s="726"/>
      <c r="C60" s="310">
        <f>((L62/(C55+C58))/60)</f>
        <v>0</v>
      </c>
      <c r="D60" s="274" t="s">
        <v>239</v>
      </c>
      <c r="E60" s="331"/>
      <c r="J60" s="264"/>
      <c r="K60" s="255"/>
      <c r="N60" s="519"/>
    </row>
    <row r="61" spans="1:14" s="173" customFormat="1" ht="21.75" customHeight="1" thickBot="1">
      <c r="A61" s="725" t="s">
        <v>947</v>
      </c>
      <c r="B61" s="726"/>
      <c r="C61" s="310">
        <f>IF(E10="Heating and Hot Water",IF(C59&gt;C62,C62,(C60+C59)),0)</f>
        <v>73.106995884773639</v>
      </c>
      <c r="D61" s="274" t="s">
        <v>239</v>
      </c>
      <c r="E61" s="331"/>
      <c r="F61" s="331"/>
      <c r="G61" s="331"/>
      <c r="H61" s="331"/>
      <c r="I61" s="331"/>
      <c r="J61" s="264"/>
      <c r="K61" s="255"/>
      <c r="N61" s="519"/>
    </row>
    <row r="62" spans="1:14" s="173" customFormat="1" ht="15" hidden="1" customHeight="1" thickBot="1">
      <c r="A62" s="331" t="s">
        <v>962</v>
      </c>
      <c r="B62" s="331"/>
      <c r="C62" s="331">
        <f>(C56/C55)/60</f>
        <v>73.106995884773639</v>
      </c>
      <c r="D62" s="332"/>
      <c r="E62" s="331"/>
      <c r="F62" s="331"/>
      <c r="G62" s="331"/>
      <c r="H62" s="331"/>
      <c r="I62" s="331"/>
      <c r="J62" s="264"/>
      <c r="K62" s="255"/>
      <c r="L62" s="520">
        <f>IF(C57&lt;0,0,C57)</f>
        <v>0</v>
      </c>
    </row>
    <row r="63" spans="1:14" s="173" customFormat="1" ht="14.25" customHeight="1">
      <c r="A63" s="537"/>
      <c r="B63" s="331"/>
      <c r="C63" s="331"/>
      <c r="D63" s="331"/>
      <c r="E63" s="331"/>
      <c r="F63" s="331"/>
      <c r="G63" s="331"/>
      <c r="H63" s="331"/>
      <c r="I63" s="331"/>
      <c r="J63" s="264"/>
      <c r="K63" s="255"/>
    </row>
    <row r="64" spans="1:14" s="173" customFormat="1" ht="15" customHeight="1">
      <c r="A64" s="537"/>
      <c r="B64" s="331"/>
      <c r="C64" s="331"/>
      <c r="D64" s="331"/>
      <c r="E64" s="331"/>
      <c r="F64" s="331"/>
      <c r="G64" s="331"/>
      <c r="H64" s="331"/>
      <c r="I64" s="331"/>
      <c r="J64" s="264"/>
      <c r="K64" s="255"/>
    </row>
    <row r="65" spans="1:145" s="173" customFormat="1" ht="23.25">
      <c r="A65" s="727" t="s">
        <v>1150</v>
      </c>
      <c r="B65" s="727"/>
      <c r="C65" s="331"/>
      <c r="D65" s="331"/>
      <c r="E65" s="331"/>
      <c r="F65" s="331"/>
      <c r="G65" s="331"/>
      <c r="H65" s="331"/>
      <c r="I65" s="331"/>
      <c r="J65" s="264"/>
      <c r="K65" s="255"/>
    </row>
    <row r="66" spans="1:145" s="173" customFormat="1" ht="15.75" customHeight="1">
      <c r="A66" s="331"/>
      <c r="C66" s="331"/>
      <c r="D66" s="331"/>
      <c r="E66" s="331"/>
      <c r="F66" s="331"/>
      <c r="G66" s="331"/>
      <c r="H66" s="331"/>
      <c r="I66" s="331"/>
      <c r="J66" s="264"/>
      <c r="K66" s="255"/>
    </row>
    <row r="67" spans="1:145" s="173" customFormat="1" ht="15.75" customHeight="1">
      <c r="A67" s="331"/>
      <c r="B67" s="170">
        <f>'MCS calc and run costs '!$B$13</f>
        <v>874.25052429505581</v>
      </c>
      <c r="C67" s="173" t="s">
        <v>1040</v>
      </c>
      <c r="D67" s="331"/>
      <c r="E67" s="331"/>
      <c r="F67" s="331"/>
      <c r="G67" s="331"/>
      <c r="H67" s="331"/>
      <c r="I67" s="331"/>
      <c r="J67" s="264"/>
      <c r="K67" s="255"/>
      <c r="M67" s="518"/>
    </row>
    <row r="68" spans="1:145" s="173" customFormat="1" ht="24" customHeight="1">
      <c r="A68" s="331"/>
      <c r="B68" s="331"/>
      <c r="C68" s="645"/>
      <c r="D68" s="331"/>
      <c r="E68" s="331"/>
      <c r="F68" s="331"/>
      <c r="G68" s="331"/>
      <c r="H68" s="331"/>
      <c r="I68" s="331"/>
      <c r="J68" s="264"/>
      <c r="K68" s="255"/>
    </row>
    <row r="69" spans="1:145" s="173" customFormat="1" ht="24" customHeight="1">
      <c r="A69" s="331"/>
      <c r="B69" s="331"/>
      <c r="C69" s="645"/>
      <c r="D69" s="331"/>
      <c r="E69" s="331"/>
      <c r="F69" s="331"/>
      <c r="G69" s="331"/>
      <c r="H69" s="331"/>
      <c r="I69" s="331"/>
      <c r="J69" s="264"/>
      <c r="K69" s="255"/>
    </row>
    <row r="70" spans="1:145" s="173" customFormat="1" ht="24" customHeight="1">
      <c r="A70" s="724" t="s">
        <v>1149</v>
      </c>
      <c r="B70" s="724"/>
      <c r="C70" s="724"/>
      <c r="D70" s="724"/>
      <c r="E70" s="724"/>
      <c r="F70" s="646"/>
      <c r="G70" s="331"/>
      <c r="H70" s="331"/>
      <c r="I70" s="331"/>
      <c r="J70" s="264"/>
      <c r="K70" s="255"/>
    </row>
    <row r="71" spans="1:145" s="173" customFormat="1" ht="24" customHeight="1">
      <c r="A71" s="334" t="s">
        <v>1125</v>
      </c>
      <c r="B71" s="347" t="s">
        <v>256</v>
      </c>
      <c r="C71" s="331"/>
      <c r="D71" s="331"/>
      <c r="E71" s="333"/>
      <c r="F71" s="331"/>
      <c r="G71" s="331"/>
      <c r="H71" s="331"/>
      <c r="I71" s="331"/>
      <c r="J71" s="264"/>
      <c r="K71" s="255"/>
    </row>
    <row r="72" spans="1:145" s="173" customFormat="1">
      <c r="A72" s="608" t="s">
        <v>904</v>
      </c>
      <c r="B72" s="54">
        <f>'MCS calc and run costs '!B22</f>
        <v>716.90445540345377</v>
      </c>
      <c r="C72" s="461" t="s">
        <v>505</v>
      </c>
      <c r="D72" s="54">
        <f>'MCS calc and run costs '!D22</f>
        <v>1147.0471286455258</v>
      </c>
      <c r="E72" s="333"/>
      <c r="F72" s="331"/>
      <c r="G72" s="331"/>
      <c r="H72" s="331"/>
      <c r="I72" s="331"/>
      <c r="J72" s="264"/>
      <c r="K72" s="255"/>
    </row>
    <row r="73" spans="1:145" s="173" customFormat="1">
      <c r="A73" s="608"/>
      <c r="B73" s="333"/>
      <c r="C73" s="333"/>
      <c r="D73" s="333"/>
      <c r="E73" s="333"/>
      <c r="F73" s="331"/>
      <c r="G73" s="331"/>
      <c r="H73" s="331"/>
      <c r="I73" s="331"/>
      <c r="J73" s="264"/>
      <c r="K73" s="255"/>
    </row>
    <row r="74" spans="1:145" s="173" customFormat="1">
      <c r="A74" s="608" t="s">
        <v>905</v>
      </c>
      <c r="B74" s="54">
        <f>B72*7</f>
        <v>5018.3311878241766</v>
      </c>
      <c r="C74" s="461" t="s">
        <v>505</v>
      </c>
      <c r="D74" s="54">
        <f>D72*7</f>
        <v>8029.3299005186809</v>
      </c>
      <c r="E74" s="333"/>
      <c r="F74" s="331"/>
      <c r="G74" s="331"/>
      <c r="H74" s="331"/>
      <c r="I74" s="331"/>
      <c r="J74" s="264"/>
      <c r="K74" s="255"/>
    </row>
    <row r="75" spans="1:145" s="173" customFormat="1">
      <c r="A75" s="608"/>
      <c r="B75" s="333"/>
      <c r="C75" s="333"/>
      <c r="D75" s="333"/>
      <c r="E75" s="333"/>
      <c r="F75" s="331"/>
      <c r="G75" s="331"/>
      <c r="H75" s="331"/>
      <c r="I75" s="331"/>
      <c r="J75" s="264"/>
      <c r="K75" s="255"/>
    </row>
    <row r="76" spans="1:145" s="173" customFormat="1">
      <c r="A76" s="347"/>
      <c r="B76" s="333"/>
      <c r="C76" s="333"/>
      <c r="D76" s="331"/>
      <c r="E76" s="333"/>
      <c r="F76" s="331"/>
      <c r="G76" s="331"/>
      <c r="H76" s="331"/>
      <c r="I76" s="331"/>
      <c r="J76" s="264"/>
      <c r="K76" s="255"/>
    </row>
    <row r="77" spans="1:145" s="173" customFormat="1" ht="15.75" thickBot="1">
      <c r="A77" s="521"/>
      <c r="B77" s="521"/>
      <c r="C77" s="521"/>
      <c r="D77" s="521"/>
      <c r="E77" s="521"/>
      <c r="F77" s="521"/>
      <c r="G77" s="521"/>
      <c r="H77" s="521"/>
      <c r="I77" s="521"/>
      <c r="J77" s="530"/>
      <c r="K77" s="255"/>
    </row>
    <row r="78" spans="1:145" s="253" customFormat="1" ht="15" customHeight="1">
      <c r="A78" s="173"/>
      <c r="B78" s="173"/>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c r="AW78" s="173"/>
      <c r="AX78" s="173"/>
      <c r="AY78" s="173"/>
      <c r="AZ78" s="173"/>
      <c r="BA78" s="173"/>
      <c r="BB78" s="173"/>
      <c r="BC78" s="173"/>
      <c r="BD78" s="173"/>
      <c r="BE78" s="173"/>
      <c r="BF78" s="173"/>
      <c r="BG78" s="173"/>
      <c r="BH78" s="173"/>
      <c r="BI78" s="173"/>
      <c r="BJ78" s="173"/>
      <c r="BK78" s="173"/>
      <c r="BL78" s="173"/>
      <c r="BM78" s="173"/>
      <c r="BN78" s="173"/>
      <c r="BO78" s="173"/>
      <c r="BP78" s="173"/>
      <c r="BQ78" s="173"/>
      <c r="BR78" s="173"/>
      <c r="BS78" s="173"/>
      <c r="BT78" s="173"/>
      <c r="BU78" s="173"/>
      <c r="BV78" s="173"/>
      <c r="BW78" s="173"/>
      <c r="BX78" s="173"/>
      <c r="BY78" s="173"/>
      <c r="BZ78" s="173"/>
      <c r="CA78" s="173"/>
      <c r="CB78" s="173"/>
      <c r="CC78" s="173"/>
      <c r="CD78" s="173"/>
      <c r="CE78" s="173"/>
      <c r="CF78" s="173"/>
      <c r="CG78" s="173"/>
      <c r="CH78" s="173"/>
      <c r="CI78" s="173"/>
      <c r="CJ78" s="173"/>
      <c r="CK78" s="173"/>
      <c r="CL78" s="173"/>
      <c r="CM78" s="173"/>
      <c r="CN78" s="173"/>
      <c r="CO78" s="173"/>
      <c r="CP78" s="173"/>
      <c r="CQ78" s="173"/>
      <c r="CR78" s="173"/>
      <c r="CS78" s="173"/>
      <c r="CT78" s="532"/>
      <c r="CU78" s="532"/>
      <c r="CV78" s="532"/>
      <c r="CW78" s="532"/>
      <c r="CX78" s="532"/>
      <c r="CY78" s="532"/>
      <c r="CZ78" s="532"/>
      <c r="DA78" s="532"/>
      <c r="DB78" s="532"/>
      <c r="DC78" s="532"/>
      <c r="DD78" s="532"/>
      <c r="DE78" s="532"/>
      <c r="DF78" s="532"/>
      <c r="DG78" s="532"/>
      <c r="DH78" s="532"/>
      <c r="DI78" s="532"/>
      <c r="DJ78" s="532"/>
      <c r="DK78" s="532"/>
      <c r="DL78" s="532"/>
      <c r="DM78" s="532"/>
      <c r="DN78" s="532"/>
      <c r="DO78" s="532"/>
      <c r="DP78" s="532"/>
      <c r="DQ78" s="532"/>
      <c r="DR78" s="532"/>
      <c r="DS78" s="532"/>
      <c r="DT78" s="532"/>
      <c r="DU78" s="532"/>
      <c r="DV78" s="532"/>
      <c r="DW78" s="532"/>
      <c r="DX78" s="532"/>
      <c r="DY78" s="532"/>
      <c r="DZ78" s="532"/>
      <c r="EA78" s="532"/>
      <c r="EB78" s="532"/>
      <c r="EC78" s="532"/>
      <c r="ED78" s="532"/>
      <c r="EE78" s="532"/>
      <c r="EF78" s="532"/>
      <c r="EG78" s="532"/>
      <c r="EH78" s="532"/>
      <c r="EI78" s="532"/>
      <c r="EJ78" s="532"/>
      <c r="EK78" s="532"/>
      <c r="EL78" s="532"/>
      <c r="EM78" s="532"/>
      <c r="EN78" s="532"/>
      <c r="EO78" s="532"/>
    </row>
    <row r="79" spans="1:145" s="254" customFormat="1" ht="24" hidden="1" thickBot="1">
      <c r="A79" s="535" t="s">
        <v>969</v>
      </c>
      <c r="B79" s="173"/>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c r="AW79" s="173"/>
      <c r="AX79" s="173"/>
      <c r="AY79" s="173"/>
      <c r="AZ79" s="173"/>
      <c r="BA79" s="173"/>
      <c r="BB79" s="173"/>
      <c r="BC79" s="173"/>
      <c r="BD79" s="173"/>
      <c r="BE79" s="173"/>
      <c r="BF79" s="173"/>
      <c r="BG79" s="173"/>
      <c r="BH79" s="173"/>
      <c r="BI79" s="173"/>
      <c r="BJ79" s="173"/>
      <c r="BK79" s="173"/>
      <c r="BL79" s="173"/>
      <c r="BM79" s="173"/>
      <c r="BN79" s="173"/>
      <c r="BO79" s="173"/>
      <c r="BP79" s="173"/>
      <c r="BQ79" s="173"/>
      <c r="BR79" s="173"/>
      <c r="BS79" s="173"/>
      <c r="BT79" s="173"/>
      <c r="BU79" s="173"/>
      <c r="BV79" s="173"/>
      <c r="BW79" s="173"/>
      <c r="BX79" s="173"/>
      <c r="BY79" s="173"/>
      <c r="BZ79" s="173"/>
      <c r="CA79" s="173"/>
      <c r="CB79" s="173"/>
      <c r="CC79" s="173"/>
      <c r="CD79" s="173"/>
      <c r="CE79" s="173"/>
      <c r="CF79" s="173"/>
      <c r="CG79" s="173"/>
      <c r="CH79" s="173"/>
      <c r="CI79" s="173"/>
      <c r="CJ79" s="173"/>
      <c r="CK79" s="173"/>
      <c r="CL79" s="173"/>
      <c r="CM79" s="173"/>
      <c r="CN79" s="173"/>
      <c r="CO79" s="173"/>
      <c r="CP79" s="173"/>
      <c r="CQ79" s="173"/>
      <c r="CR79" s="173"/>
      <c r="CS79" s="173"/>
      <c r="CT79" s="446"/>
      <c r="CU79" s="446"/>
      <c r="CV79" s="446"/>
      <c r="CW79" s="446"/>
      <c r="CX79" s="446"/>
      <c r="CY79" s="446"/>
      <c r="CZ79" s="446"/>
      <c r="DA79" s="446"/>
      <c r="DB79" s="446"/>
      <c r="DC79" s="446"/>
      <c r="DD79" s="446"/>
      <c r="DE79" s="446"/>
      <c r="DF79" s="446"/>
      <c r="DG79" s="446"/>
      <c r="DH79" s="446"/>
      <c r="DI79" s="446"/>
      <c r="DJ79" s="446"/>
      <c r="DK79" s="446"/>
      <c r="DL79" s="446"/>
      <c r="DM79" s="446"/>
      <c r="DN79" s="446"/>
      <c r="DO79" s="446"/>
      <c r="DP79" s="446"/>
      <c r="DQ79" s="446"/>
      <c r="DR79" s="446"/>
      <c r="DS79" s="446"/>
      <c r="DT79" s="446"/>
      <c r="DU79" s="446"/>
      <c r="DV79" s="446"/>
      <c r="DW79" s="446"/>
      <c r="DX79" s="446"/>
      <c r="DY79" s="446"/>
      <c r="DZ79" s="446"/>
      <c r="EA79" s="446"/>
      <c r="EB79" s="446"/>
      <c r="EC79" s="446"/>
      <c r="ED79" s="446"/>
      <c r="EE79" s="446"/>
      <c r="EF79" s="446"/>
      <c r="EG79" s="446"/>
      <c r="EH79" s="446"/>
      <c r="EI79" s="446"/>
      <c r="EJ79" s="446"/>
      <c r="EK79" s="446"/>
      <c r="EL79" s="446"/>
      <c r="EM79" s="446"/>
      <c r="EN79" s="446"/>
      <c r="EO79" s="446"/>
    </row>
    <row r="80" spans="1:145" s="254" customFormat="1" ht="15.75" hidden="1" thickBot="1">
      <c r="A80" s="629"/>
      <c r="B80" s="630"/>
      <c r="C80" s="630"/>
      <c r="D80" s="630"/>
      <c r="E80" s="630"/>
      <c r="F80" s="630"/>
      <c r="G80" s="630"/>
      <c r="H80" s="630"/>
      <c r="I80" s="630"/>
      <c r="J80" s="631"/>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c r="AW80" s="173"/>
      <c r="AX80" s="173"/>
      <c r="AY80" s="173"/>
      <c r="AZ80" s="173"/>
      <c r="BA80" s="173"/>
      <c r="BB80" s="173"/>
      <c r="BC80" s="173"/>
      <c r="BD80" s="173"/>
      <c r="BE80" s="173"/>
      <c r="BF80" s="173"/>
      <c r="BG80" s="173"/>
      <c r="BH80" s="173"/>
      <c r="BI80" s="173"/>
      <c r="BJ80" s="173"/>
      <c r="BK80" s="173"/>
      <c r="BL80" s="173"/>
      <c r="BM80" s="173"/>
      <c r="BN80" s="173"/>
      <c r="BO80" s="173"/>
      <c r="BP80" s="173"/>
      <c r="BQ80" s="173"/>
      <c r="BR80" s="173"/>
      <c r="BS80" s="173"/>
      <c r="BT80" s="173"/>
      <c r="BU80" s="173"/>
      <c r="BV80" s="173"/>
      <c r="BW80" s="173"/>
      <c r="BX80" s="173"/>
      <c r="BY80" s="173"/>
      <c r="BZ80" s="173"/>
      <c r="CA80" s="173"/>
      <c r="CB80" s="173"/>
      <c r="CC80" s="173"/>
      <c r="CD80" s="173"/>
      <c r="CE80" s="173"/>
      <c r="CF80" s="173"/>
      <c r="CG80" s="173"/>
      <c r="CH80" s="173"/>
      <c r="CI80" s="173"/>
      <c r="CJ80" s="173"/>
      <c r="CK80" s="173"/>
      <c r="CL80" s="173"/>
      <c r="CM80" s="173"/>
      <c r="CN80" s="173"/>
      <c r="CO80" s="173"/>
      <c r="CP80" s="173"/>
      <c r="CQ80" s="173"/>
      <c r="CR80" s="173"/>
      <c r="CS80" s="173"/>
      <c r="CT80" s="446"/>
      <c r="CU80" s="446"/>
      <c r="CV80" s="446"/>
      <c r="CW80" s="446"/>
      <c r="CX80" s="446"/>
      <c r="CY80" s="446"/>
      <c r="CZ80" s="446"/>
      <c r="DA80" s="446"/>
      <c r="DB80" s="446"/>
      <c r="DC80" s="446"/>
      <c r="DD80" s="446"/>
      <c r="DE80" s="446"/>
      <c r="DF80" s="446"/>
      <c r="DG80" s="446"/>
      <c r="DH80" s="446"/>
      <c r="DI80" s="446"/>
      <c r="DJ80" s="446"/>
      <c r="DK80" s="446"/>
      <c r="DL80" s="446"/>
      <c r="DM80" s="446"/>
      <c r="DN80" s="446"/>
      <c r="DO80" s="446"/>
      <c r="DP80" s="446"/>
      <c r="DQ80" s="446"/>
      <c r="DR80" s="446"/>
      <c r="DS80" s="446"/>
      <c r="DT80" s="446"/>
      <c r="DU80" s="446"/>
      <c r="DV80" s="446"/>
      <c r="DW80" s="446"/>
      <c r="DX80" s="446"/>
      <c r="DY80" s="446"/>
      <c r="DZ80" s="446"/>
      <c r="EA80" s="446"/>
      <c r="EB80" s="446"/>
      <c r="EC80" s="446"/>
      <c r="ED80" s="446"/>
      <c r="EE80" s="446"/>
      <c r="EF80" s="446"/>
      <c r="EG80" s="446"/>
      <c r="EH80" s="446"/>
      <c r="EI80" s="446"/>
      <c r="EJ80" s="446"/>
      <c r="EK80" s="446"/>
      <c r="EL80" s="446"/>
      <c r="EM80" s="446"/>
      <c r="EN80" s="446"/>
      <c r="EO80" s="446"/>
    </row>
    <row r="81" spans="1:145" s="254" customFormat="1" ht="24" hidden="1" thickBot="1">
      <c r="A81" s="632" t="s">
        <v>967</v>
      </c>
      <c r="B81" s="633" t="str">
        <f>IF(I16="Yes", VLOOKUP(E8,A88:F102,HLOOKUP(E10,A88:F102,2,FALSE),FALSE)*(1-E81),"Not MCS")</f>
        <v>Not MCS</v>
      </c>
      <c r="C81" s="332"/>
      <c r="D81" s="634" t="s">
        <v>984</v>
      </c>
      <c r="E81" s="635">
        <v>0</v>
      </c>
      <c r="F81" s="332"/>
      <c r="G81" s="636" t="s">
        <v>976</v>
      </c>
      <c r="H81" s="635" t="s">
        <v>1082</v>
      </c>
      <c r="I81" s="332"/>
      <c r="J81" s="637"/>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173"/>
      <c r="BN81" s="173"/>
      <c r="BO81" s="173"/>
      <c r="BP81" s="173"/>
      <c r="BQ81" s="173"/>
      <c r="BR81" s="173"/>
      <c r="BS81" s="173"/>
      <c r="BT81" s="173"/>
      <c r="BU81" s="173"/>
      <c r="BV81" s="173"/>
      <c r="BW81" s="173"/>
      <c r="BX81" s="173"/>
      <c r="BY81" s="173"/>
      <c r="BZ81" s="173"/>
      <c r="CA81" s="173"/>
      <c r="CB81" s="173"/>
      <c r="CC81" s="173"/>
      <c r="CD81" s="173"/>
      <c r="CE81" s="173"/>
      <c r="CF81" s="173"/>
      <c r="CG81" s="173"/>
      <c r="CH81" s="173"/>
      <c r="CI81" s="173"/>
      <c r="CJ81" s="173"/>
      <c r="CK81" s="173"/>
      <c r="CL81" s="173"/>
      <c r="CM81" s="173"/>
      <c r="CN81" s="173"/>
      <c r="CO81" s="173"/>
      <c r="CP81" s="173"/>
      <c r="CQ81" s="173"/>
      <c r="CR81" s="173"/>
      <c r="CS81" s="173"/>
      <c r="CT81" s="446"/>
      <c r="CU81" s="446"/>
      <c r="CV81" s="446"/>
      <c r="CW81" s="446"/>
      <c r="CX81" s="446"/>
      <c r="CY81" s="446"/>
      <c r="CZ81" s="446"/>
      <c r="DA81" s="446"/>
      <c r="DB81" s="446"/>
      <c r="DC81" s="446"/>
      <c r="DD81" s="446"/>
      <c r="DE81" s="446"/>
      <c r="DF81" s="446"/>
      <c r="DG81" s="446"/>
      <c r="DH81" s="446"/>
      <c r="DI81" s="446"/>
      <c r="DJ81" s="446"/>
      <c r="DK81" s="446"/>
      <c r="DL81" s="446"/>
      <c r="DM81" s="446"/>
      <c r="DN81" s="446"/>
      <c r="DO81" s="446"/>
      <c r="DP81" s="446"/>
      <c r="DQ81" s="446"/>
      <c r="DR81" s="446"/>
      <c r="DS81" s="446"/>
      <c r="DT81" s="446"/>
      <c r="DU81" s="446"/>
      <c r="DV81" s="446"/>
      <c r="DW81" s="446"/>
      <c r="DX81" s="446"/>
      <c r="DY81" s="446"/>
      <c r="DZ81" s="446"/>
      <c r="EA81" s="446"/>
      <c r="EB81" s="446"/>
      <c r="EC81" s="446"/>
      <c r="ED81" s="446"/>
      <c r="EE81" s="446"/>
      <c r="EF81" s="446"/>
      <c r="EG81" s="446"/>
      <c r="EH81" s="446"/>
      <c r="EI81" s="446"/>
      <c r="EJ81" s="446"/>
      <c r="EK81" s="446"/>
      <c r="EL81" s="446"/>
      <c r="EM81" s="446"/>
      <c r="EN81" s="446"/>
      <c r="EO81" s="446"/>
    </row>
    <row r="82" spans="1:145" s="254" customFormat="1" ht="15.75" hidden="1" thickBot="1">
      <c r="A82" s="538" t="s">
        <v>977</v>
      </c>
      <c r="B82" s="332"/>
      <c r="C82" s="332"/>
      <c r="D82" s="322"/>
      <c r="E82" s="322"/>
      <c r="F82" s="332"/>
      <c r="G82" s="638"/>
      <c r="H82" s="332"/>
      <c r="I82" s="332"/>
      <c r="J82" s="637"/>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c r="AW82" s="173"/>
      <c r="AX82" s="173"/>
      <c r="AY82" s="173"/>
      <c r="AZ82" s="173"/>
      <c r="BA82" s="173"/>
      <c r="BB82" s="173"/>
      <c r="BC82" s="173"/>
      <c r="BD82" s="173"/>
      <c r="BE82" s="173"/>
      <c r="BF82" s="173"/>
      <c r="BG82" s="173"/>
      <c r="BH82" s="173"/>
      <c r="BI82" s="173"/>
      <c r="BJ82" s="173"/>
      <c r="BK82" s="173"/>
      <c r="BL82" s="173"/>
      <c r="BM82" s="173"/>
      <c r="BN82" s="173"/>
      <c r="BO82" s="173"/>
      <c r="BP82" s="173"/>
      <c r="BQ82" s="173"/>
      <c r="BR82" s="173"/>
      <c r="BS82" s="173"/>
      <c r="BT82" s="173"/>
      <c r="BU82" s="173"/>
      <c r="BV82" s="173"/>
      <c r="BW82" s="173"/>
      <c r="BX82" s="173"/>
      <c r="BY82" s="173"/>
      <c r="BZ82" s="173"/>
      <c r="CA82" s="173"/>
      <c r="CB82" s="173"/>
      <c r="CC82" s="173"/>
      <c r="CD82" s="173"/>
      <c r="CE82" s="173"/>
      <c r="CF82" s="173"/>
      <c r="CG82" s="173"/>
      <c r="CH82" s="173"/>
      <c r="CI82" s="173"/>
      <c r="CJ82" s="173"/>
      <c r="CK82" s="173"/>
      <c r="CL82" s="173"/>
      <c r="CM82" s="173"/>
      <c r="CN82" s="173"/>
      <c r="CO82" s="173"/>
      <c r="CP82" s="173"/>
      <c r="CQ82" s="173"/>
      <c r="CR82" s="173"/>
      <c r="CS82" s="173"/>
      <c r="CT82" s="446"/>
      <c r="CU82" s="446"/>
      <c r="CV82" s="446"/>
      <c r="CW82" s="446"/>
      <c r="CX82" s="446"/>
      <c r="CY82" s="446"/>
      <c r="CZ82" s="446"/>
      <c r="DA82" s="446"/>
      <c r="DB82" s="446"/>
      <c r="DC82" s="446"/>
      <c r="DD82" s="446"/>
      <c r="DE82" s="446"/>
      <c r="DF82" s="446"/>
      <c r="DG82" s="446"/>
      <c r="DH82" s="446"/>
      <c r="DI82" s="446"/>
      <c r="DJ82" s="446"/>
      <c r="DK82" s="446"/>
      <c r="DL82" s="446"/>
      <c r="DM82" s="446"/>
      <c r="DN82" s="446"/>
      <c r="DO82" s="446"/>
      <c r="DP82" s="446"/>
      <c r="DQ82" s="446"/>
      <c r="DR82" s="446"/>
      <c r="DS82" s="446"/>
      <c r="DT82" s="446"/>
      <c r="DU82" s="446"/>
      <c r="DV82" s="446"/>
      <c r="DW82" s="446"/>
      <c r="DX82" s="446"/>
      <c r="DY82" s="446"/>
      <c r="DZ82" s="446"/>
      <c r="EA82" s="446"/>
      <c r="EB82" s="446"/>
      <c r="EC82" s="446"/>
      <c r="ED82" s="446"/>
      <c r="EE82" s="446"/>
      <c r="EF82" s="446"/>
      <c r="EG82" s="446"/>
      <c r="EH82" s="446"/>
      <c r="EI82" s="446"/>
      <c r="EJ82" s="446"/>
      <c r="EK82" s="446"/>
      <c r="EL82" s="446"/>
      <c r="EM82" s="446"/>
      <c r="EN82" s="446"/>
      <c r="EO82" s="446"/>
    </row>
    <row r="83" spans="1:145" s="254" customFormat="1" ht="24" hidden="1" thickBot="1">
      <c r="A83" s="632" t="s">
        <v>964</v>
      </c>
      <c r="B83" s="633">
        <f>IF(E8="Eco Forest 3-12kW",#REF!+#REF!,+IF(equipment!E8="Eco Forest 5-22kW",#REF!+#REF!,0))</f>
        <v>0</v>
      </c>
      <c r="C83" s="332"/>
      <c r="D83" s="634" t="s">
        <v>985</v>
      </c>
      <c r="E83" s="635">
        <v>0</v>
      </c>
      <c r="F83" s="322"/>
      <c r="G83" s="634" t="s">
        <v>979</v>
      </c>
      <c r="H83" s="633" t="e">
        <f>(H84)*(H81+1)</f>
        <v>#VALUE!</v>
      </c>
      <c r="I83" s="322"/>
      <c r="J83" s="637"/>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c r="AW83" s="173"/>
      <c r="AX83" s="173"/>
      <c r="AY83" s="173"/>
      <c r="AZ83" s="173"/>
      <c r="BA83" s="173"/>
      <c r="BB83" s="173"/>
      <c r="BC83" s="173"/>
      <c r="BD83" s="173"/>
      <c r="BE83" s="173"/>
      <c r="BF83" s="173"/>
      <c r="BG83" s="173"/>
      <c r="BH83" s="173"/>
      <c r="BI83" s="173"/>
      <c r="BJ83" s="173"/>
      <c r="BK83" s="173"/>
      <c r="BL83" s="173"/>
      <c r="BM83" s="173"/>
      <c r="BN83" s="173"/>
      <c r="BO83" s="173"/>
      <c r="BP83" s="173"/>
      <c r="BQ83" s="173"/>
      <c r="BR83" s="173"/>
      <c r="BS83" s="173"/>
      <c r="BT83" s="173"/>
      <c r="BU83" s="173"/>
      <c r="BV83" s="173"/>
      <c r="BW83" s="173"/>
      <c r="BX83" s="173"/>
      <c r="BY83" s="173"/>
      <c r="BZ83" s="173"/>
      <c r="CA83" s="173"/>
      <c r="CB83" s="173"/>
      <c r="CC83" s="173"/>
      <c r="CD83" s="173"/>
      <c r="CE83" s="173"/>
      <c r="CF83" s="173"/>
      <c r="CG83" s="173"/>
      <c r="CH83" s="173"/>
      <c r="CI83" s="173"/>
      <c r="CJ83" s="173"/>
      <c r="CK83" s="173"/>
      <c r="CL83" s="173"/>
      <c r="CM83" s="173"/>
      <c r="CN83" s="173"/>
      <c r="CO83" s="173"/>
      <c r="CP83" s="173"/>
      <c r="CQ83" s="173"/>
      <c r="CR83" s="173"/>
      <c r="CS83" s="173"/>
      <c r="CT83" s="446"/>
      <c r="CU83" s="446"/>
      <c r="CV83" s="446"/>
      <c r="CW83" s="446"/>
      <c r="CX83" s="446"/>
      <c r="CY83" s="446"/>
      <c r="CZ83" s="446"/>
      <c r="DA83" s="446"/>
      <c r="DB83" s="446"/>
      <c r="DC83" s="446"/>
      <c r="DD83" s="446"/>
      <c r="DE83" s="446"/>
      <c r="DF83" s="446"/>
      <c r="DG83" s="446"/>
      <c r="DH83" s="446"/>
      <c r="DI83" s="446"/>
      <c r="DJ83" s="446"/>
      <c r="DK83" s="446"/>
      <c r="DL83" s="446"/>
      <c r="DM83" s="446"/>
      <c r="DN83" s="446"/>
      <c r="DO83" s="446"/>
      <c r="DP83" s="446"/>
      <c r="DQ83" s="446"/>
      <c r="DR83" s="446"/>
      <c r="DS83" s="446"/>
      <c r="DT83" s="446"/>
      <c r="DU83" s="446"/>
      <c r="DV83" s="446"/>
      <c r="DW83" s="446"/>
      <c r="DX83" s="446"/>
      <c r="DY83" s="446"/>
      <c r="DZ83" s="446"/>
      <c r="EA83" s="446"/>
      <c r="EB83" s="446"/>
      <c r="EC83" s="446"/>
      <c r="ED83" s="446"/>
      <c r="EE83" s="446"/>
      <c r="EF83" s="446"/>
      <c r="EG83" s="446"/>
      <c r="EH83" s="446"/>
      <c r="EI83" s="446"/>
      <c r="EJ83" s="446"/>
      <c r="EK83" s="446"/>
      <c r="EL83" s="446"/>
      <c r="EM83" s="446"/>
      <c r="EN83" s="446"/>
      <c r="EO83" s="446"/>
    </row>
    <row r="84" spans="1:145" s="254" customFormat="1" ht="23.25" hidden="1">
      <c r="A84" s="538" t="s">
        <v>968</v>
      </c>
      <c r="B84" s="332"/>
      <c r="C84" s="332"/>
      <c r="D84" s="332"/>
      <c r="E84" s="332"/>
      <c r="F84" s="332"/>
      <c r="G84" s="634" t="s">
        <v>975</v>
      </c>
      <c r="H84" s="633" t="e">
        <f>B81+B83+B85+E85</f>
        <v>#VALUE!</v>
      </c>
      <c r="I84" s="322" t="s">
        <v>978</v>
      </c>
      <c r="J84" s="637"/>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c r="AW84" s="173"/>
      <c r="AX84" s="173"/>
      <c r="AY84" s="173"/>
      <c r="AZ84" s="173"/>
      <c r="BA84" s="173"/>
      <c r="BB84" s="173"/>
      <c r="BC84" s="173"/>
      <c r="BD84" s="173"/>
      <c r="BE84" s="173"/>
      <c r="BF84" s="173"/>
      <c r="BG84" s="173"/>
      <c r="BH84" s="173"/>
      <c r="BI84" s="173"/>
      <c r="BJ84" s="173"/>
      <c r="BK84" s="173"/>
      <c r="BL84" s="173"/>
      <c r="BM84" s="173"/>
      <c r="BN84" s="173"/>
      <c r="BO84" s="173"/>
      <c r="BP84" s="173"/>
      <c r="BQ84" s="173"/>
      <c r="BR84" s="173"/>
      <c r="BS84" s="173"/>
      <c r="BT84" s="173"/>
      <c r="BU84" s="173"/>
      <c r="BV84" s="173"/>
      <c r="BW84" s="173"/>
      <c r="BX84" s="173"/>
      <c r="BY84" s="173"/>
      <c r="BZ84" s="173"/>
      <c r="CA84" s="173"/>
      <c r="CB84" s="173"/>
      <c r="CC84" s="173"/>
      <c r="CD84" s="173"/>
      <c r="CE84" s="173"/>
      <c r="CF84" s="173"/>
      <c r="CG84" s="173"/>
      <c r="CH84" s="173"/>
      <c r="CI84" s="173"/>
      <c r="CJ84" s="173"/>
      <c r="CK84" s="173"/>
      <c r="CL84" s="173"/>
      <c r="CM84" s="173"/>
      <c r="CN84" s="173"/>
      <c r="CO84" s="173"/>
      <c r="CP84" s="173"/>
      <c r="CQ84" s="173"/>
      <c r="CR84" s="173"/>
      <c r="CS84" s="173"/>
      <c r="CT84" s="446"/>
      <c r="CU84" s="446"/>
      <c r="CV84" s="446"/>
      <c r="CW84" s="446"/>
      <c r="CX84" s="446"/>
      <c r="CY84" s="446"/>
      <c r="CZ84" s="446"/>
      <c r="DA84" s="446"/>
      <c r="DB84" s="446"/>
      <c r="DC84" s="446"/>
      <c r="DD84" s="446"/>
      <c r="DE84" s="446"/>
      <c r="DF84" s="446"/>
      <c r="DG84" s="446"/>
      <c r="DH84" s="446"/>
      <c r="DI84" s="446"/>
      <c r="DJ84" s="446"/>
      <c r="DK84" s="446"/>
      <c r="DL84" s="446"/>
      <c r="DM84" s="446"/>
      <c r="DN84" s="446"/>
      <c r="DO84" s="446"/>
      <c r="DP84" s="446"/>
      <c r="DQ84" s="446"/>
      <c r="DR84" s="446"/>
      <c r="DS84" s="446"/>
      <c r="DT84" s="446"/>
      <c r="DU84" s="446"/>
      <c r="DV84" s="446"/>
      <c r="DW84" s="446"/>
      <c r="DX84" s="446"/>
      <c r="DY84" s="446"/>
      <c r="DZ84" s="446"/>
      <c r="EA84" s="446"/>
      <c r="EB84" s="446"/>
      <c r="EC84" s="446"/>
      <c r="ED84" s="446"/>
      <c r="EE84" s="446"/>
      <c r="EF84" s="446"/>
      <c r="EG84" s="446"/>
      <c r="EH84" s="446"/>
      <c r="EI84" s="446"/>
      <c r="EJ84" s="446"/>
      <c r="EK84" s="446"/>
      <c r="EL84" s="446"/>
      <c r="EM84" s="446"/>
      <c r="EN84" s="446"/>
      <c r="EO84" s="446"/>
    </row>
    <row r="85" spans="1:145" s="254" customFormat="1" ht="23.25" hidden="1">
      <c r="A85" s="632" t="s">
        <v>965</v>
      </c>
      <c r="B85" s="633" t="e">
        <f>IF('Data Entry Sheet'!I31="Heating and Hot Water",VLOOKUP('Data Entry Sheet'!D42,A105:C114,3,FALSE)*(1-E83),0)</f>
        <v>#N/A</v>
      </c>
      <c r="C85" s="332"/>
      <c r="D85" s="636" t="s">
        <v>963</v>
      </c>
      <c r="E85" s="633">
        <f>IF(H58&lt;25.00001,114,+IF(H58&lt;50.000001,228,+IF(H58&lt;75.0001,342,+IF(H58&lt;100.00001,456))))</f>
        <v>228</v>
      </c>
      <c r="F85" s="332"/>
      <c r="G85" s="634" t="s">
        <v>980</v>
      </c>
      <c r="H85" s="633" t="e">
        <f>H83-H84</f>
        <v>#VALUE!</v>
      </c>
      <c r="I85" s="332"/>
      <c r="J85" s="637"/>
      <c r="K85" s="173"/>
      <c r="L85" s="173"/>
      <c r="M85" s="173"/>
      <c r="N85" s="173"/>
      <c r="O85" s="173"/>
      <c r="P85" s="173"/>
      <c r="Q85" s="173"/>
      <c r="R85" s="173"/>
      <c r="S85" s="173"/>
      <c r="T85" s="173"/>
      <c r="U85" s="173"/>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c r="AW85" s="173"/>
      <c r="AX85" s="173"/>
      <c r="AY85" s="173"/>
      <c r="AZ85" s="173"/>
      <c r="BA85" s="173"/>
      <c r="BB85" s="173"/>
      <c r="BC85" s="173"/>
      <c r="BD85" s="173"/>
      <c r="BE85" s="173"/>
      <c r="BF85" s="173"/>
      <c r="BG85" s="173"/>
      <c r="BH85" s="173"/>
      <c r="BI85" s="173"/>
      <c r="BJ85" s="173"/>
      <c r="BK85" s="173"/>
      <c r="BL85" s="173"/>
      <c r="BM85" s="173"/>
      <c r="BN85" s="173"/>
      <c r="BO85" s="173"/>
      <c r="BP85" s="173"/>
      <c r="BQ85" s="173"/>
      <c r="BR85" s="173"/>
      <c r="BS85" s="173"/>
      <c r="BT85" s="173"/>
      <c r="BU85" s="173"/>
      <c r="BV85" s="173"/>
      <c r="BW85" s="173"/>
      <c r="BX85" s="173"/>
      <c r="BY85" s="173"/>
      <c r="BZ85" s="173"/>
      <c r="CA85" s="173"/>
      <c r="CB85" s="173"/>
      <c r="CC85" s="173"/>
      <c r="CD85" s="173"/>
      <c r="CE85" s="173"/>
      <c r="CF85" s="173"/>
      <c r="CG85" s="173"/>
      <c r="CH85" s="173"/>
      <c r="CI85" s="173"/>
      <c r="CJ85" s="173"/>
      <c r="CK85" s="173"/>
      <c r="CL85" s="173"/>
      <c r="CM85" s="173"/>
      <c r="CN85" s="173"/>
      <c r="CO85" s="173"/>
      <c r="CP85" s="173"/>
      <c r="CQ85" s="173"/>
      <c r="CR85" s="173"/>
      <c r="CS85" s="173"/>
      <c r="CT85" s="446"/>
      <c r="CU85" s="446"/>
      <c r="CV85" s="446"/>
      <c r="CW85" s="446"/>
      <c r="CX85" s="446"/>
      <c r="CY85" s="446"/>
      <c r="CZ85" s="446"/>
      <c r="DA85" s="446"/>
      <c r="DB85" s="446"/>
      <c r="DC85" s="446"/>
      <c r="DD85" s="446"/>
      <c r="DE85" s="446"/>
      <c r="DF85" s="446"/>
      <c r="DG85" s="446"/>
      <c r="DH85" s="446"/>
      <c r="DI85" s="446"/>
      <c r="DJ85" s="446"/>
      <c r="DK85" s="446"/>
      <c r="DL85" s="446"/>
      <c r="DM85" s="446"/>
      <c r="DN85" s="446"/>
      <c r="DO85" s="446"/>
      <c r="DP85" s="446"/>
      <c r="DQ85" s="446"/>
      <c r="DR85" s="446"/>
      <c r="DS85" s="446"/>
      <c r="DT85" s="446"/>
      <c r="DU85" s="446"/>
      <c r="DV85" s="446"/>
      <c r="DW85" s="446"/>
      <c r="DX85" s="446"/>
      <c r="DY85" s="446"/>
      <c r="DZ85" s="446"/>
      <c r="EA85" s="446"/>
      <c r="EB85" s="446"/>
      <c r="EC85" s="446"/>
      <c r="ED85" s="446"/>
      <c r="EE85" s="446"/>
      <c r="EF85" s="446"/>
      <c r="EG85" s="446"/>
      <c r="EH85" s="446"/>
      <c r="EI85" s="446"/>
      <c r="EJ85" s="446"/>
      <c r="EK85" s="446"/>
      <c r="EL85" s="446"/>
      <c r="EM85" s="446"/>
      <c r="EN85" s="446"/>
      <c r="EO85" s="446"/>
    </row>
    <row r="86" spans="1:145" s="254" customFormat="1" ht="15.75" hidden="1" thickBot="1">
      <c r="A86" s="639"/>
      <c r="B86" s="522"/>
      <c r="C86" s="522"/>
      <c r="D86" s="522"/>
      <c r="E86" s="522"/>
      <c r="F86" s="522"/>
      <c r="G86" s="522"/>
      <c r="H86" s="522"/>
      <c r="I86" s="522"/>
      <c r="J86" s="640"/>
      <c r="K86" s="173"/>
      <c r="L86" s="173"/>
      <c r="M86" s="173"/>
      <c r="N86" s="173"/>
      <c r="O86" s="173"/>
      <c r="P86" s="173"/>
      <c r="Q86" s="173"/>
      <c r="R86" s="173"/>
      <c r="S86" s="173"/>
      <c r="T86" s="173"/>
      <c r="U86" s="173"/>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c r="AW86" s="173"/>
      <c r="AX86" s="173"/>
      <c r="AY86" s="173"/>
      <c r="AZ86" s="173"/>
      <c r="BA86" s="173"/>
      <c r="BB86" s="173"/>
      <c r="BC86" s="173"/>
      <c r="BD86" s="173"/>
      <c r="BE86" s="173"/>
      <c r="BF86" s="173"/>
      <c r="BG86" s="173"/>
      <c r="BH86" s="173"/>
      <c r="BI86" s="173"/>
      <c r="BJ86" s="173"/>
      <c r="BK86" s="173"/>
      <c r="BL86" s="173"/>
      <c r="BM86" s="173"/>
      <c r="BN86" s="173"/>
      <c r="BO86" s="173"/>
      <c r="BP86" s="173"/>
      <c r="BQ86" s="173"/>
      <c r="BR86" s="173"/>
      <c r="BS86" s="173"/>
      <c r="BT86" s="173"/>
      <c r="BU86" s="173"/>
      <c r="BV86" s="173"/>
      <c r="BW86" s="173"/>
      <c r="BX86" s="173"/>
      <c r="BY86" s="173"/>
      <c r="BZ86" s="173"/>
      <c r="CA86" s="173"/>
      <c r="CB86" s="173"/>
      <c r="CC86" s="173"/>
      <c r="CD86" s="173"/>
      <c r="CE86" s="173"/>
      <c r="CF86" s="173"/>
      <c r="CG86" s="173"/>
      <c r="CH86" s="173"/>
      <c r="CI86" s="173"/>
      <c r="CJ86" s="173"/>
      <c r="CK86" s="173"/>
      <c r="CL86" s="173"/>
      <c r="CM86" s="173"/>
      <c r="CN86" s="173"/>
      <c r="CO86" s="173"/>
      <c r="CP86" s="173"/>
      <c r="CQ86" s="173"/>
      <c r="CR86" s="173"/>
      <c r="CS86" s="173"/>
      <c r="CT86" s="446"/>
      <c r="CU86" s="446"/>
      <c r="CV86" s="446"/>
      <c r="CW86" s="446"/>
      <c r="CX86" s="446"/>
      <c r="CY86" s="446"/>
      <c r="CZ86" s="446"/>
      <c r="DA86" s="446"/>
      <c r="DB86" s="446"/>
      <c r="DC86" s="446"/>
      <c r="DD86" s="446"/>
      <c r="DE86" s="446"/>
      <c r="DF86" s="446"/>
      <c r="DG86" s="446"/>
      <c r="DH86" s="446"/>
      <c r="DI86" s="446"/>
      <c r="DJ86" s="446"/>
      <c r="DK86" s="446"/>
      <c r="DL86" s="446"/>
      <c r="DM86" s="446"/>
      <c r="DN86" s="446"/>
      <c r="DO86" s="446"/>
      <c r="DP86" s="446"/>
      <c r="DQ86" s="446"/>
      <c r="DR86" s="446"/>
      <c r="DS86" s="446"/>
      <c r="DT86" s="446"/>
      <c r="DU86" s="446"/>
      <c r="DV86" s="446"/>
      <c r="DW86" s="446"/>
      <c r="DX86" s="446"/>
      <c r="DY86" s="446"/>
      <c r="DZ86" s="446"/>
      <c r="EA86" s="446"/>
      <c r="EB86" s="446"/>
      <c r="EC86" s="446"/>
      <c r="ED86" s="446"/>
      <c r="EE86" s="446"/>
      <c r="EF86" s="446"/>
      <c r="EG86" s="446"/>
      <c r="EH86" s="446"/>
      <c r="EI86" s="446"/>
      <c r="EJ86" s="446"/>
      <c r="EK86" s="446"/>
      <c r="EL86" s="446"/>
      <c r="EM86" s="446"/>
      <c r="EN86" s="446"/>
      <c r="EO86" s="446"/>
    </row>
    <row r="87" spans="1:145" s="254" customFormat="1" hidden="1">
      <c r="A87" s="173"/>
      <c r="B87" s="173"/>
      <c r="C87" s="173"/>
      <c r="D87" s="173"/>
      <c r="E87" s="173"/>
      <c r="F87" s="173"/>
      <c r="G87" s="173"/>
      <c r="H87" s="173"/>
      <c r="I87" s="173"/>
      <c r="J87" s="173"/>
      <c r="K87" s="173"/>
      <c r="L87" s="173"/>
      <c r="M87" s="173"/>
      <c r="N87" s="181"/>
      <c r="O87" s="181"/>
      <c r="P87" s="181"/>
      <c r="Q87" s="181"/>
      <c r="R87" s="181"/>
      <c r="S87" s="181"/>
      <c r="T87" s="181"/>
      <c r="U87" s="181"/>
      <c r="V87" s="181"/>
      <c r="W87" s="181"/>
      <c r="X87" s="181"/>
      <c r="Y87" s="181"/>
      <c r="Z87" s="181"/>
      <c r="AA87" s="181"/>
      <c r="AB87" s="181"/>
      <c r="AC87" s="181"/>
      <c r="AD87" s="181"/>
      <c r="AE87" s="181"/>
      <c r="AF87" s="181"/>
      <c r="AG87" s="181"/>
      <c r="AH87" s="181"/>
      <c r="AI87" s="181"/>
      <c r="AJ87" s="181"/>
      <c r="AK87" s="181"/>
      <c r="AL87" s="181"/>
      <c r="AM87" s="181"/>
      <c r="AN87" s="181"/>
      <c r="AO87" s="181"/>
      <c r="AP87" s="181"/>
      <c r="AQ87" s="181"/>
      <c r="AR87" s="181"/>
      <c r="AS87" s="181"/>
      <c r="AT87" s="181"/>
      <c r="AU87" s="181"/>
      <c r="AV87" s="181"/>
      <c r="AW87" s="181"/>
      <c r="AX87" s="181"/>
      <c r="AY87" s="181"/>
      <c r="AZ87" s="181"/>
      <c r="BA87" s="181"/>
      <c r="BB87" s="181"/>
      <c r="BC87" s="181"/>
      <c r="BD87" s="181"/>
      <c r="BE87" s="181"/>
      <c r="BF87" s="181"/>
      <c r="BG87" s="181"/>
      <c r="BH87" s="181"/>
      <c r="BI87" s="181"/>
      <c r="BJ87" s="181"/>
      <c r="BK87" s="181"/>
      <c r="BL87" s="181"/>
      <c r="BM87" s="181"/>
      <c r="BN87" s="181"/>
      <c r="BO87" s="181"/>
      <c r="BP87" s="181"/>
      <c r="BQ87" s="181"/>
      <c r="BR87" s="181"/>
      <c r="BS87" s="181"/>
      <c r="BT87" s="181"/>
      <c r="BU87" s="181"/>
      <c r="BV87" s="181"/>
      <c r="BW87" s="181"/>
      <c r="BX87" s="181"/>
      <c r="BY87" s="181"/>
      <c r="BZ87" s="181"/>
      <c r="CA87" s="181"/>
      <c r="CB87" s="181"/>
      <c r="CC87" s="181"/>
      <c r="CD87" s="181"/>
      <c r="CE87" s="181"/>
      <c r="CF87" s="181"/>
      <c r="CG87" s="181"/>
      <c r="CH87" s="181"/>
      <c r="CI87" s="181"/>
      <c r="CJ87" s="181"/>
      <c r="CK87" s="181"/>
      <c r="CL87" s="181"/>
      <c r="CM87" s="181"/>
      <c r="CN87" s="181"/>
      <c r="CO87" s="181"/>
      <c r="CP87" s="181"/>
      <c r="CQ87" s="181"/>
      <c r="CR87" s="173"/>
      <c r="CS87" s="173"/>
      <c r="CT87" s="446"/>
      <c r="CU87" s="446"/>
      <c r="CV87" s="446"/>
      <c r="CW87" s="446"/>
      <c r="CX87" s="446"/>
      <c r="CY87" s="446"/>
      <c r="CZ87" s="446"/>
      <c r="DA87" s="446"/>
      <c r="DB87" s="446"/>
      <c r="DC87" s="446"/>
      <c r="DD87" s="446"/>
      <c r="DE87" s="446"/>
      <c r="DF87" s="446"/>
      <c r="DG87" s="446"/>
      <c r="DH87" s="446"/>
      <c r="DI87" s="446"/>
      <c r="DJ87" s="446"/>
      <c r="DK87" s="446"/>
      <c r="DL87" s="446"/>
      <c r="DM87" s="446"/>
      <c r="DN87" s="446"/>
      <c r="DO87" s="446"/>
      <c r="DP87" s="446"/>
      <c r="DQ87" s="446"/>
      <c r="DR87" s="446"/>
      <c r="DS87" s="446"/>
      <c r="DT87" s="446"/>
      <c r="DU87" s="446"/>
      <c r="DV87" s="446"/>
      <c r="DW87" s="446"/>
      <c r="DX87" s="446"/>
      <c r="DY87" s="446"/>
      <c r="DZ87" s="446"/>
      <c r="EA87" s="446"/>
      <c r="EB87" s="446"/>
      <c r="EC87" s="446"/>
      <c r="ED87" s="446"/>
      <c r="EE87" s="446"/>
      <c r="EF87" s="446"/>
      <c r="EG87" s="446"/>
      <c r="EH87" s="446"/>
      <c r="EI87" s="446"/>
      <c r="EJ87" s="446"/>
      <c r="EK87" s="446"/>
      <c r="EL87" s="446"/>
      <c r="EM87" s="446"/>
      <c r="EN87" s="446"/>
      <c r="EO87" s="446"/>
    </row>
    <row r="88" spans="1:145" s="254" customFormat="1">
      <c r="A88" s="181"/>
      <c r="B88" s="181"/>
      <c r="C88" s="181"/>
      <c r="D88" s="181"/>
      <c r="E88" s="181"/>
      <c r="F88" s="181"/>
      <c r="G88" s="181"/>
      <c r="H88" s="181"/>
      <c r="I88" s="181"/>
      <c r="J88" s="181"/>
      <c r="K88" s="181"/>
      <c r="L88" s="181"/>
      <c r="M88" s="181"/>
      <c r="N88" s="181"/>
      <c r="O88" s="181"/>
      <c r="P88" s="181"/>
      <c r="Q88" s="181"/>
      <c r="R88" s="181"/>
      <c r="S88" s="181"/>
      <c r="T88" s="181"/>
      <c r="U88" s="181"/>
      <c r="V88" s="181"/>
      <c r="W88" s="181"/>
      <c r="X88" s="181"/>
      <c r="Y88" s="181"/>
      <c r="Z88" s="181"/>
      <c r="AA88" s="181"/>
      <c r="AB88" s="181"/>
      <c r="AC88" s="181"/>
      <c r="AD88" s="181"/>
      <c r="AE88" s="181"/>
      <c r="AF88" s="181"/>
      <c r="AG88" s="181"/>
      <c r="AH88" s="181"/>
      <c r="AI88" s="181"/>
      <c r="AJ88" s="181"/>
      <c r="AK88" s="181"/>
      <c r="AL88" s="181"/>
      <c r="AM88" s="181"/>
      <c r="AN88" s="181"/>
      <c r="AO88" s="181"/>
      <c r="AP88" s="181"/>
      <c r="AQ88" s="181"/>
      <c r="AR88" s="181"/>
      <c r="AS88" s="181"/>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1"/>
      <c r="BR88" s="181"/>
      <c r="BS88" s="181"/>
      <c r="BT88" s="181"/>
      <c r="BU88" s="181"/>
      <c r="BV88" s="181"/>
      <c r="BW88" s="181"/>
      <c r="BX88" s="181"/>
      <c r="BY88" s="181"/>
      <c r="BZ88" s="181"/>
      <c r="CA88" s="181"/>
      <c r="CB88" s="181"/>
      <c r="CC88" s="181"/>
      <c r="CD88" s="181"/>
      <c r="CE88" s="181"/>
      <c r="CF88" s="181"/>
      <c r="CG88" s="181"/>
      <c r="CH88" s="181"/>
      <c r="CI88" s="181"/>
      <c r="CJ88" s="181"/>
      <c r="CK88" s="181"/>
      <c r="CL88" s="181"/>
      <c r="CM88" s="181"/>
      <c r="CN88" s="181"/>
      <c r="CO88" s="181"/>
      <c r="CP88" s="181"/>
      <c r="CQ88" s="181"/>
      <c r="CR88" s="173"/>
      <c r="CS88" s="173"/>
      <c r="CT88" s="446"/>
      <c r="CU88" s="446"/>
      <c r="CV88" s="446"/>
      <c r="CW88" s="446"/>
      <c r="CX88" s="446"/>
      <c r="CY88" s="446"/>
      <c r="CZ88" s="446"/>
      <c r="DA88" s="446"/>
      <c r="DB88" s="446"/>
      <c r="DC88" s="446"/>
      <c r="DD88" s="446"/>
      <c r="DE88" s="446"/>
      <c r="DF88" s="446"/>
      <c r="DG88" s="446"/>
      <c r="DH88" s="446"/>
      <c r="DI88" s="446"/>
      <c r="DJ88" s="446"/>
      <c r="DK88" s="446"/>
      <c r="DL88" s="446"/>
      <c r="DM88" s="446"/>
      <c r="DN88" s="446"/>
      <c r="DO88" s="446"/>
      <c r="DP88" s="446"/>
      <c r="DQ88" s="446"/>
      <c r="DR88" s="446"/>
      <c r="DS88" s="446"/>
      <c r="DT88" s="446"/>
      <c r="DU88" s="446"/>
      <c r="DV88" s="446"/>
      <c r="DW88" s="446"/>
      <c r="DX88" s="446"/>
      <c r="DY88" s="446"/>
      <c r="DZ88" s="446"/>
      <c r="EA88" s="446"/>
      <c r="EB88" s="446"/>
      <c r="EC88" s="446"/>
      <c r="ED88" s="446"/>
      <c r="EE88" s="446"/>
      <c r="EF88" s="446"/>
      <c r="EG88" s="446"/>
      <c r="EH88" s="446"/>
      <c r="EI88" s="446"/>
      <c r="EJ88" s="446"/>
      <c r="EK88" s="446"/>
      <c r="EL88" s="446"/>
      <c r="EM88" s="446"/>
      <c r="EN88" s="446"/>
      <c r="EO88" s="446"/>
    </row>
    <row r="89" spans="1:145" s="322" customFormat="1">
      <c r="A89" s="181"/>
      <c r="B89" s="181"/>
      <c r="C89" s="181"/>
      <c r="D89" s="181"/>
      <c r="E89" s="181"/>
      <c r="F89" s="181"/>
      <c r="G89" s="181"/>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1"/>
      <c r="BR89" s="181"/>
      <c r="BS89" s="181"/>
      <c r="BT89" s="181"/>
      <c r="BU89" s="173"/>
      <c r="BV89" s="173"/>
      <c r="BW89" s="173"/>
      <c r="BX89" s="173"/>
      <c r="BY89" s="173"/>
      <c r="BZ89" s="173"/>
      <c r="CA89" s="173"/>
      <c r="CB89" s="173"/>
      <c r="CC89" s="173"/>
      <c r="CD89" s="173"/>
      <c r="CE89" s="173"/>
      <c r="CF89" s="173"/>
      <c r="CG89" s="173"/>
      <c r="CH89" s="173"/>
      <c r="CI89" s="173"/>
      <c r="CJ89" s="173"/>
      <c r="CK89" s="173"/>
      <c r="CL89" s="173"/>
      <c r="CM89" s="173"/>
      <c r="CN89" s="173"/>
      <c r="CO89" s="173"/>
      <c r="CP89" s="173"/>
      <c r="CQ89" s="173"/>
      <c r="CR89" s="173"/>
      <c r="CS89" s="173"/>
      <c r="CT89" s="332"/>
      <c r="CU89" s="332"/>
      <c r="CV89" s="332"/>
      <c r="CW89" s="332"/>
      <c r="CX89" s="332"/>
      <c r="CY89" s="332"/>
      <c r="CZ89" s="332"/>
      <c r="DA89" s="332"/>
      <c r="DB89" s="332"/>
      <c r="DC89" s="332"/>
      <c r="DD89" s="332"/>
      <c r="DE89" s="332"/>
      <c r="DF89" s="332"/>
      <c r="DG89" s="332"/>
      <c r="DH89" s="332"/>
      <c r="DI89" s="332"/>
      <c r="DJ89" s="332"/>
      <c r="DK89" s="332"/>
      <c r="DL89" s="332"/>
      <c r="DM89" s="332"/>
      <c r="DN89" s="332"/>
      <c r="DO89" s="332"/>
      <c r="DP89" s="332"/>
      <c r="DQ89" s="332"/>
      <c r="DR89" s="332"/>
      <c r="DS89" s="332"/>
      <c r="DT89" s="332"/>
      <c r="DU89" s="332"/>
      <c r="DV89" s="332"/>
      <c r="DW89" s="332"/>
      <c r="DX89" s="332"/>
      <c r="DY89" s="332"/>
      <c r="DZ89" s="332"/>
      <c r="EA89" s="332"/>
      <c r="EB89" s="332"/>
      <c r="EC89" s="332"/>
      <c r="ED89" s="332"/>
      <c r="EE89" s="332"/>
      <c r="EF89" s="332"/>
      <c r="EG89" s="332"/>
      <c r="EH89" s="332"/>
      <c r="EI89" s="332"/>
      <c r="EJ89" s="332"/>
      <c r="EK89" s="332"/>
      <c r="EL89" s="332"/>
      <c r="EM89" s="332"/>
      <c r="EN89" s="332"/>
      <c r="EO89" s="332"/>
    </row>
    <row r="90" spans="1:145" s="254" customFormat="1">
      <c r="A90" s="181" t="s">
        <v>812</v>
      </c>
      <c r="B90" s="181">
        <v>4.04</v>
      </c>
      <c r="C90" s="181"/>
      <c r="D90" s="181"/>
      <c r="E90" s="181"/>
      <c r="F90" s="181"/>
      <c r="G90" s="181"/>
      <c r="H90" s="181"/>
      <c r="I90" s="181"/>
      <c r="J90" s="181"/>
      <c r="K90" s="181"/>
      <c r="L90" s="181"/>
      <c r="M90" s="181"/>
      <c r="N90" s="181"/>
      <c r="O90" s="181"/>
      <c r="P90" s="181"/>
      <c r="Q90" s="181"/>
      <c r="R90" s="181"/>
      <c r="S90" s="181"/>
      <c r="T90" s="181"/>
      <c r="U90" s="181"/>
      <c r="V90" s="181"/>
      <c r="W90" s="181"/>
      <c r="X90" s="181"/>
      <c r="Y90" s="181"/>
      <c r="Z90" s="181"/>
      <c r="AA90" s="181"/>
      <c r="AB90" s="181"/>
      <c r="AC90" s="181"/>
      <c r="AD90" s="181"/>
      <c r="AE90" s="181"/>
      <c r="AF90" s="181"/>
      <c r="AG90" s="181"/>
      <c r="AH90" s="181"/>
      <c r="AI90" s="181"/>
      <c r="AJ90" s="181"/>
      <c r="AK90" s="181"/>
      <c r="AL90" s="181"/>
      <c r="AM90" s="181"/>
      <c r="AN90" s="181"/>
      <c r="AO90" s="181"/>
      <c r="AP90" s="181"/>
      <c r="AQ90" s="181"/>
      <c r="AR90" s="181"/>
      <c r="AS90" s="181"/>
      <c r="AT90" s="181"/>
      <c r="AU90" s="181"/>
      <c r="AV90" s="181"/>
      <c r="AW90" s="181"/>
      <c r="AX90" s="181"/>
      <c r="AY90" s="181"/>
      <c r="AZ90" s="181"/>
      <c r="BA90" s="181"/>
      <c r="BB90" s="181"/>
      <c r="BC90" s="181"/>
      <c r="BD90" s="181"/>
      <c r="BE90" s="181"/>
      <c r="BF90" s="181"/>
      <c r="BG90" s="181"/>
      <c r="BH90" s="181"/>
      <c r="BI90" s="181"/>
      <c r="BJ90" s="181"/>
      <c r="BK90" s="181"/>
      <c r="BL90" s="181"/>
      <c r="BM90" s="181"/>
      <c r="BN90" s="181"/>
      <c r="BO90" s="181"/>
      <c r="BP90" s="181"/>
      <c r="BQ90" s="181"/>
      <c r="BR90" s="181"/>
      <c r="BS90" s="181"/>
      <c r="BT90" s="181"/>
      <c r="BU90" s="173"/>
      <c r="BV90" s="173"/>
      <c r="BW90" s="173"/>
      <c r="BX90" s="173"/>
      <c r="BY90" s="173"/>
      <c r="BZ90" s="173"/>
      <c r="CA90" s="173"/>
      <c r="CB90" s="173"/>
      <c r="CC90" s="173"/>
      <c r="CD90" s="173"/>
      <c r="CE90" s="173"/>
      <c r="CF90" s="173"/>
      <c r="CG90" s="173"/>
      <c r="CH90" s="173"/>
      <c r="CI90" s="173"/>
      <c r="CJ90" s="173"/>
      <c r="CK90" s="173"/>
      <c r="CL90" s="173"/>
      <c r="CM90" s="181"/>
      <c r="CN90" s="181"/>
      <c r="CO90" s="181"/>
      <c r="CP90" s="181"/>
      <c r="CQ90" s="181"/>
      <c r="CR90" s="173"/>
      <c r="CS90" s="173"/>
      <c r="CT90" s="446"/>
      <c r="CU90" s="446"/>
      <c r="CV90" s="446"/>
      <c r="CW90" s="446"/>
      <c r="CX90" s="446"/>
      <c r="CY90" s="446"/>
      <c r="CZ90" s="446"/>
      <c r="DA90" s="446"/>
      <c r="DB90" s="446"/>
      <c r="DC90" s="446"/>
      <c r="DD90" s="446"/>
      <c r="DE90" s="446"/>
      <c r="DF90" s="446"/>
      <c r="DG90" s="446"/>
      <c r="DH90" s="446"/>
      <c r="DI90" s="446"/>
      <c r="DJ90" s="446"/>
      <c r="DK90" s="446"/>
      <c r="DL90" s="446"/>
      <c r="DM90" s="446"/>
      <c r="DN90" s="446"/>
      <c r="DO90" s="446"/>
      <c r="DP90" s="446"/>
      <c r="DQ90" s="446"/>
      <c r="DR90" s="446"/>
      <c r="DS90" s="446"/>
      <c r="DT90" s="446"/>
      <c r="DU90" s="446"/>
      <c r="DV90" s="446"/>
      <c r="DW90" s="446"/>
      <c r="DX90" s="446"/>
      <c r="DY90" s="446"/>
      <c r="DZ90" s="446"/>
      <c r="EA90" s="446"/>
      <c r="EB90" s="446"/>
      <c r="EC90" s="446"/>
      <c r="ED90" s="446"/>
      <c r="EE90" s="446"/>
      <c r="EF90" s="446"/>
      <c r="EG90" s="446"/>
      <c r="EH90" s="446"/>
      <c r="EI90" s="446"/>
      <c r="EJ90" s="446"/>
      <c r="EK90" s="446"/>
      <c r="EL90" s="446"/>
      <c r="EM90" s="446"/>
      <c r="EN90" s="446"/>
      <c r="EO90" s="446"/>
    </row>
    <row r="91" spans="1:145" s="254" customFormat="1">
      <c r="A91" s="181" t="s">
        <v>85</v>
      </c>
      <c r="B91" s="181">
        <v>6.48</v>
      </c>
      <c r="C91" s="181"/>
      <c r="D91" s="181"/>
      <c r="E91" s="181"/>
      <c r="F91" s="181"/>
      <c r="G91" s="181"/>
      <c r="H91" s="181"/>
      <c r="I91" s="181"/>
      <c r="J91" s="181"/>
      <c r="K91" s="181"/>
      <c r="L91" s="181"/>
      <c r="M91" s="181"/>
      <c r="N91" s="181"/>
      <c r="O91" s="181"/>
      <c r="P91" s="181"/>
      <c r="Q91" s="181"/>
      <c r="R91" s="181"/>
      <c r="S91" s="181"/>
      <c r="T91" s="181"/>
      <c r="U91" s="181"/>
      <c r="V91" s="181"/>
      <c r="W91" s="181"/>
      <c r="X91" s="181"/>
      <c r="Y91" s="181"/>
      <c r="Z91" s="181"/>
      <c r="AA91" s="181"/>
      <c r="AB91" s="181"/>
      <c r="AC91" s="181"/>
      <c r="AD91" s="181"/>
      <c r="AE91" s="181"/>
      <c r="AF91" s="181"/>
      <c r="AG91" s="181"/>
      <c r="AH91" s="181"/>
      <c r="AI91" s="181"/>
      <c r="AJ91" s="181"/>
      <c r="AK91" s="181"/>
      <c r="AL91" s="181"/>
      <c r="AM91" s="181"/>
      <c r="AN91" s="181"/>
      <c r="AO91" s="181"/>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1"/>
      <c r="BM91" s="181"/>
      <c r="BN91" s="181"/>
      <c r="BO91" s="181"/>
      <c r="BP91" s="181"/>
      <c r="BQ91" s="181"/>
      <c r="BR91" s="181"/>
      <c r="BS91" s="181"/>
      <c r="BT91" s="181"/>
      <c r="BU91" s="173"/>
      <c r="BV91" s="173"/>
      <c r="BW91" s="173"/>
      <c r="BX91" s="173"/>
      <c r="BY91" s="173"/>
      <c r="BZ91" s="173"/>
      <c r="CA91" s="173"/>
      <c r="CB91" s="173"/>
      <c r="CC91" s="173"/>
      <c r="CD91" s="173"/>
      <c r="CE91" s="173"/>
      <c r="CF91" s="173"/>
      <c r="CG91" s="173"/>
      <c r="CH91" s="173"/>
      <c r="CI91" s="173"/>
      <c r="CJ91" s="173"/>
      <c r="CK91" s="173"/>
      <c r="CL91" s="173"/>
      <c r="CM91" s="181"/>
      <c r="CN91" s="181"/>
      <c r="CO91" s="181"/>
      <c r="CP91" s="181"/>
      <c r="CQ91" s="181"/>
      <c r="CR91" s="173"/>
      <c r="CS91" s="173"/>
      <c r="CT91" s="446"/>
      <c r="CU91" s="446"/>
      <c r="CV91" s="446"/>
      <c r="CW91" s="446"/>
      <c r="CX91" s="446"/>
      <c r="CY91" s="446"/>
      <c r="CZ91" s="446"/>
      <c r="DA91" s="446"/>
      <c r="DB91" s="446"/>
      <c r="DC91" s="446"/>
      <c r="DD91" s="446"/>
      <c r="DE91" s="446"/>
      <c r="DF91" s="446"/>
      <c r="DG91" s="446"/>
      <c r="DH91" s="446"/>
      <c r="DI91" s="446"/>
      <c r="DJ91" s="446"/>
      <c r="DK91" s="446"/>
      <c r="DL91" s="446"/>
      <c r="DM91" s="446"/>
      <c r="DN91" s="446"/>
      <c r="DO91" s="446"/>
      <c r="DP91" s="446"/>
      <c r="DQ91" s="446"/>
      <c r="DR91" s="446"/>
      <c r="DS91" s="446"/>
      <c r="DT91" s="446"/>
      <c r="DU91" s="446"/>
      <c r="DV91" s="446"/>
      <c r="DW91" s="446"/>
      <c r="DX91" s="446"/>
      <c r="DY91" s="446"/>
      <c r="DZ91" s="446"/>
      <c r="EA91" s="446"/>
      <c r="EB91" s="446"/>
      <c r="EC91" s="446"/>
      <c r="ED91" s="446"/>
      <c r="EE91" s="446"/>
      <c r="EF91" s="446"/>
      <c r="EG91" s="446"/>
      <c r="EH91" s="446"/>
      <c r="EI91" s="446"/>
      <c r="EJ91" s="446"/>
      <c r="EK91" s="446"/>
      <c r="EL91" s="446"/>
      <c r="EM91" s="446"/>
      <c r="EN91" s="446"/>
      <c r="EO91" s="446"/>
    </row>
    <row r="92" spans="1:145" s="254" customFormat="1">
      <c r="A92" s="181" t="s">
        <v>693</v>
      </c>
      <c r="B92" s="181">
        <v>9.2100000000000009</v>
      </c>
      <c r="C92" s="181"/>
      <c r="D92" s="181"/>
      <c r="E92" s="181"/>
      <c r="F92" s="181"/>
      <c r="G92" s="181"/>
      <c r="H92" s="181"/>
      <c r="I92" s="181"/>
      <c r="J92" s="181"/>
      <c r="K92" s="181"/>
      <c r="L92" s="181"/>
      <c r="M92" s="181"/>
      <c r="N92" s="181"/>
      <c r="O92" s="181"/>
      <c r="P92" s="181"/>
      <c r="Q92" s="181"/>
      <c r="R92" s="181"/>
      <c r="S92" s="181"/>
      <c r="T92" s="181"/>
      <c r="U92" s="181"/>
      <c r="V92" s="181"/>
      <c r="W92" s="181"/>
      <c r="X92" s="181"/>
      <c r="Y92" s="181"/>
      <c r="Z92" s="181"/>
      <c r="AA92" s="181"/>
      <c r="AB92" s="181"/>
      <c r="AC92" s="181"/>
      <c r="AD92" s="181"/>
      <c r="AE92" s="181"/>
      <c r="AF92" s="181"/>
      <c r="AG92" s="181"/>
      <c r="AH92" s="181"/>
      <c r="AI92" s="181"/>
      <c r="AJ92" s="181"/>
      <c r="AK92" s="181"/>
      <c r="AL92" s="181"/>
      <c r="AM92" s="181"/>
      <c r="AN92" s="181"/>
      <c r="AO92" s="181"/>
      <c r="AP92" s="181"/>
      <c r="AQ92" s="181"/>
      <c r="AR92" s="181"/>
      <c r="AS92" s="181"/>
      <c r="AT92" s="181"/>
      <c r="AU92" s="181"/>
      <c r="AV92" s="181"/>
      <c r="AW92" s="181"/>
      <c r="AX92" s="181"/>
      <c r="AY92" s="181"/>
      <c r="AZ92" s="181"/>
      <c r="BA92" s="181"/>
      <c r="BB92" s="181"/>
      <c r="BC92" s="181"/>
      <c r="BD92" s="181"/>
      <c r="BE92" s="181"/>
      <c r="BF92" s="181"/>
      <c r="BG92" s="181"/>
      <c r="BH92" s="181"/>
      <c r="BI92" s="181"/>
      <c r="BJ92" s="181"/>
      <c r="BK92" s="181"/>
      <c r="BL92" s="181"/>
      <c r="BM92" s="181"/>
      <c r="BN92" s="181"/>
      <c r="BO92" s="181"/>
      <c r="BP92" s="181"/>
      <c r="BQ92" s="181"/>
      <c r="BR92" s="181"/>
      <c r="BS92" s="181"/>
      <c r="BT92" s="181"/>
      <c r="BU92" s="173"/>
      <c r="BV92" s="173"/>
      <c r="BW92" s="173"/>
      <c r="BX92" s="173"/>
      <c r="BY92" s="173"/>
      <c r="BZ92" s="173"/>
      <c r="CA92" s="173"/>
      <c r="CB92" s="173"/>
      <c r="CC92" s="173"/>
      <c r="CD92" s="173"/>
      <c r="CE92" s="173"/>
      <c r="CF92" s="173"/>
      <c r="CG92" s="173"/>
      <c r="CH92" s="173"/>
      <c r="CI92" s="173"/>
      <c r="CJ92" s="173"/>
      <c r="CK92" s="173"/>
      <c r="CL92" s="173"/>
      <c r="CM92" s="181"/>
      <c r="CN92" s="181"/>
      <c r="CO92" s="181"/>
      <c r="CP92" s="181"/>
      <c r="CQ92" s="181"/>
      <c r="CR92" s="173"/>
      <c r="CS92" s="173"/>
      <c r="CT92" s="446"/>
      <c r="CU92" s="446"/>
      <c r="CV92" s="446"/>
      <c r="CW92" s="446"/>
      <c r="CX92" s="446"/>
      <c r="CY92" s="446"/>
      <c r="CZ92" s="446"/>
      <c r="DA92" s="446"/>
      <c r="DB92" s="446"/>
      <c r="DC92" s="446"/>
      <c r="DD92" s="446"/>
      <c r="DE92" s="446"/>
      <c r="DF92" s="446"/>
      <c r="DG92" s="446"/>
      <c r="DH92" s="446"/>
      <c r="DI92" s="446"/>
      <c r="DJ92" s="446"/>
      <c r="DK92" s="446"/>
      <c r="DL92" s="446"/>
      <c r="DM92" s="446"/>
      <c r="DN92" s="446"/>
      <c r="DO92" s="446"/>
      <c r="DP92" s="446"/>
      <c r="DQ92" s="446"/>
      <c r="DR92" s="446"/>
      <c r="DS92" s="446"/>
      <c r="DT92" s="446"/>
      <c r="DU92" s="446"/>
      <c r="DV92" s="446"/>
      <c r="DW92" s="446"/>
      <c r="DX92" s="446"/>
      <c r="DY92" s="446"/>
      <c r="DZ92" s="446"/>
      <c r="EA92" s="446"/>
      <c r="EB92" s="446"/>
      <c r="EC92" s="446"/>
      <c r="ED92" s="446"/>
      <c r="EE92" s="446"/>
      <c r="EF92" s="446"/>
      <c r="EG92" s="446"/>
      <c r="EH92" s="446"/>
      <c r="EI92" s="446"/>
      <c r="EJ92" s="446"/>
      <c r="EK92" s="446"/>
      <c r="EL92" s="446"/>
      <c r="EM92" s="446"/>
      <c r="EN92" s="446"/>
      <c r="EO92" s="446"/>
    </row>
    <row r="93" spans="1:145" s="254" customFormat="1">
      <c r="A93" s="181" t="s">
        <v>202</v>
      </c>
      <c r="B93" s="181">
        <v>11.42</v>
      </c>
      <c r="C93" s="181"/>
      <c r="D93" s="181"/>
      <c r="E93" s="181"/>
      <c r="F93" s="181"/>
      <c r="G93" s="181"/>
      <c r="H93" s="181"/>
      <c r="I93" s="181"/>
      <c r="J93" s="181"/>
      <c r="K93" s="181"/>
      <c r="L93" s="181"/>
      <c r="M93" s="181"/>
      <c r="N93" s="181"/>
      <c r="O93" s="181"/>
      <c r="P93" s="181"/>
      <c r="Q93" s="181"/>
      <c r="R93" s="181"/>
      <c r="S93" s="181"/>
      <c r="T93" s="181"/>
      <c r="U93" s="181"/>
      <c r="V93" s="181"/>
      <c r="W93" s="181"/>
      <c r="X93" s="181"/>
      <c r="Y93" s="181"/>
      <c r="Z93" s="181"/>
      <c r="AA93" s="181"/>
      <c r="AB93" s="181"/>
      <c r="AC93" s="181"/>
      <c r="AD93" s="181"/>
      <c r="AE93" s="181"/>
      <c r="AF93" s="181"/>
      <c r="AG93" s="181"/>
      <c r="AH93" s="181"/>
      <c r="AI93" s="181"/>
      <c r="AJ93" s="181"/>
      <c r="AK93" s="181"/>
      <c r="AL93" s="181"/>
      <c r="AM93" s="181"/>
      <c r="AN93" s="181"/>
      <c r="AO93" s="181"/>
      <c r="AP93" s="181"/>
      <c r="AQ93" s="181"/>
      <c r="AR93" s="181"/>
      <c r="AS93" s="181"/>
      <c r="AT93" s="181"/>
      <c r="AU93" s="181"/>
      <c r="AV93" s="181"/>
      <c r="AW93" s="181"/>
      <c r="AX93" s="181"/>
      <c r="AY93" s="181"/>
      <c r="AZ93" s="181"/>
      <c r="BA93" s="181"/>
      <c r="BB93" s="181"/>
      <c r="BC93" s="181"/>
      <c r="BD93" s="181"/>
      <c r="BE93" s="181"/>
      <c r="BF93" s="181"/>
      <c r="BG93" s="181"/>
      <c r="BH93" s="181"/>
      <c r="BI93" s="181"/>
      <c r="BJ93" s="181"/>
      <c r="BK93" s="181"/>
      <c r="BL93" s="181"/>
      <c r="BM93" s="181"/>
      <c r="BN93" s="181"/>
      <c r="BO93" s="181"/>
      <c r="BP93" s="181"/>
      <c r="BQ93" s="181"/>
      <c r="BR93" s="181"/>
      <c r="BS93" s="181"/>
      <c r="BT93" s="181"/>
      <c r="BU93" s="173"/>
      <c r="BV93" s="173"/>
      <c r="BW93" s="173"/>
      <c r="BX93" s="173"/>
      <c r="BY93" s="173"/>
      <c r="BZ93" s="173"/>
      <c r="CA93" s="173"/>
      <c r="CB93" s="173"/>
      <c r="CC93" s="173"/>
      <c r="CD93" s="173"/>
      <c r="CE93" s="173"/>
      <c r="CF93" s="173"/>
      <c r="CG93" s="173"/>
      <c r="CH93" s="173"/>
      <c r="CI93" s="173"/>
      <c r="CJ93" s="173"/>
      <c r="CK93" s="173"/>
      <c r="CL93" s="173"/>
      <c r="CM93" s="181"/>
      <c r="CN93" s="181"/>
      <c r="CO93" s="181"/>
      <c r="CP93" s="181"/>
      <c r="CQ93" s="181"/>
      <c r="CR93" s="173"/>
      <c r="CS93" s="173"/>
      <c r="CT93" s="446"/>
      <c r="CU93" s="446"/>
      <c r="CV93" s="446"/>
      <c r="CW93" s="446"/>
      <c r="CX93" s="446"/>
      <c r="CY93" s="446"/>
      <c r="CZ93" s="446"/>
      <c r="DA93" s="446"/>
      <c r="DB93" s="446"/>
      <c r="DC93" s="446"/>
      <c r="DD93" s="446"/>
      <c r="DE93" s="446"/>
      <c r="DF93" s="446"/>
      <c r="DG93" s="446"/>
      <c r="DH93" s="446"/>
      <c r="DI93" s="446"/>
      <c r="DJ93" s="446"/>
      <c r="DK93" s="446"/>
      <c r="DL93" s="446"/>
      <c r="DM93" s="446"/>
      <c r="DN93" s="446"/>
      <c r="DO93" s="446"/>
      <c r="DP93" s="446"/>
      <c r="DQ93" s="446"/>
      <c r="DR93" s="446"/>
      <c r="DS93" s="446"/>
      <c r="DT93" s="446"/>
      <c r="DU93" s="446"/>
      <c r="DV93" s="446"/>
      <c r="DW93" s="446"/>
      <c r="DX93" s="446"/>
      <c r="DY93" s="446"/>
      <c r="DZ93" s="446"/>
      <c r="EA93" s="446"/>
      <c r="EB93" s="446"/>
      <c r="EC93" s="446"/>
      <c r="ED93" s="446"/>
      <c r="EE93" s="446"/>
      <c r="EF93" s="446"/>
      <c r="EG93" s="446"/>
      <c r="EH93" s="446"/>
      <c r="EI93" s="446"/>
      <c r="EJ93" s="446"/>
      <c r="EK93" s="446"/>
      <c r="EL93" s="446"/>
      <c r="EM93" s="446"/>
      <c r="EN93" s="446"/>
      <c r="EO93" s="446"/>
    </row>
    <row r="94" spans="1:145" s="254" customFormat="1">
      <c r="A94" s="181" t="s">
        <v>120</v>
      </c>
      <c r="B94" s="181">
        <f>2*B91</f>
        <v>12.96</v>
      </c>
      <c r="C94" s="181"/>
      <c r="D94" s="181"/>
      <c r="E94" s="181"/>
      <c r="F94" s="181"/>
      <c r="G94" s="181"/>
      <c r="H94" s="181"/>
      <c r="I94" s="181"/>
      <c r="J94" s="181"/>
      <c r="K94" s="181"/>
      <c r="L94" s="181"/>
      <c r="M94" s="181"/>
      <c r="N94" s="181"/>
      <c r="O94" s="181"/>
      <c r="P94" s="181"/>
      <c r="Q94" s="181"/>
      <c r="R94" s="181"/>
      <c r="S94" s="181"/>
      <c r="T94" s="181"/>
      <c r="U94" s="181"/>
      <c r="V94" s="181"/>
      <c r="W94" s="181"/>
      <c r="X94" s="181"/>
      <c r="Y94" s="181"/>
      <c r="Z94" s="181"/>
      <c r="AA94" s="181"/>
      <c r="AB94" s="181"/>
      <c r="AC94" s="181"/>
      <c r="AD94" s="181"/>
      <c r="AE94" s="181"/>
      <c r="AF94" s="181"/>
      <c r="AG94" s="181"/>
      <c r="AH94" s="181"/>
      <c r="AI94" s="181"/>
      <c r="AJ94" s="181"/>
      <c r="AK94" s="181"/>
      <c r="AL94" s="181"/>
      <c r="AM94" s="181"/>
      <c r="AN94" s="181"/>
      <c r="AO94" s="181"/>
      <c r="AP94" s="181"/>
      <c r="AQ94" s="181"/>
      <c r="AR94" s="181"/>
      <c r="AS94" s="181"/>
      <c r="AT94" s="181"/>
      <c r="AU94" s="181"/>
      <c r="AV94" s="181"/>
      <c r="AW94" s="181"/>
      <c r="AX94" s="181"/>
      <c r="AY94" s="181"/>
      <c r="AZ94" s="181"/>
      <c r="BA94" s="181"/>
      <c r="BB94" s="181"/>
      <c r="BC94" s="181"/>
      <c r="BD94" s="181"/>
      <c r="BE94" s="181"/>
      <c r="BF94" s="181"/>
      <c r="BG94" s="181"/>
      <c r="BH94" s="181"/>
      <c r="BI94" s="181"/>
      <c r="BJ94" s="181"/>
      <c r="BK94" s="181"/>
      <c r="BL94" s="181"/>
      <c r="BM94" s="181"/>
      <c r="BN94" s="181"/>
      <c r="BO94" s="181"/>
      <c r="BP94" s="181"/>
      <c r="BQ94" s="181"/>
      <c r="BR94" s="181"/>
      <c r="BS94" s="181"/>
      <c r="BT94" s="181"/>
      <c r="BU94" s="173"/>
      <c r="BV94" s="173"/>
      <c r="BW94" s="173"/>
      <c r="BX94" s="173"/>
      <c r="BY94" s="173"/>
      <c r="BZ94" s="173"/>
      <c r="CA94" s="173"/>
      <c r="CB94" s="173"/>
      <c r="CC94" s="173"/>
      <c r="CD94" s="173"/>
      <c r="CE94" s="173"/>
      <c r="CF94" s="173"/>
      <c r="CG94" s="173"/>
      <c r="CH94" s="173"/>
      <c r="CI94" s="173"/>
      <c r="CJ94" s="173"/>
      <c r="CK94" s="173"/>
      <c r="CL94" s="173"/>
      <c r="CM94" s="181"/>
      <c r="CN94" s="181"/>
      <c r="CO94" s="181"/>
      <c r="CP94" s="181"/>
      <c r="CQ94" s="181"/>
      <c r="CR94" s="173"/>
      <c r="CS94" s="173"/>
      <c r="CT94" s="446"/>
      <c r="CU94" s="446"/>
      <c r="CV94" s="446"/>
      <c r="CW94" s="446"/>
      <c r="CX94" s="446"/>
      <c r="CY94" s="446"/>
      <c r="CZ94" s="446"/>
      <c r="DA94" s="446"/>
      <c r="DB94" s="446"/>
      <c r="DC94" s="446"/>
      <c r="DD94" s="446"/>
      <c r="DE94" s="446"/>
      <c r="DF94" s="446"/>
      <c r="DG94" s="446"/>
      <c r="DH94" s="446"/>
      <c r="DI94" s="446"/>
      <c r="DJ94" s="446"/>
      <c r="DK94" s="446"/>
      <c r="DL94" s="446"/>
      <c r="DM94" s="446"/>
      <c r="DN94" s="446"/>
      <c r="DO94" s="446"/>
      <c r="DP94" s="446"/>
      <c r="DQ94" s="446"/>
      <c r="DR94" s="446"/>
      <c r="DS94" s="446"/>
      <c r="DT94" s="446"/>
      <c r="DU94" s="446"/>
      <c r="DV94" s="446"/>
      <c r="DW94" s="446"/>
      <c r="DX94" s="446"/>
      <c r="DY94" s="446"/>
      <c r="DZ94" s="446"/>
      <c r="EA94" s="446"/>
      <c r="EB94" s="446"/>
      <c r="EC94" s="446"/>
      <c r="ED94" s="446"/>
      <c r="EE94" s="446"/>
      <c r="EF94" s="446"/>
      <c r="EG94" s="446"/>
      <c r="EH94" s="446"/>
      <c r="EI94" s="446"/>
      <c r="EJ94" s="446"/>
      <c r="EK94" s="446"/>
      <c r="EL94" s="446"/>
      <c r="EM94" s="446"/>
      <c r="EN94" s="446"/>
      <c r="EO94" s="446"/>
    </row>
    <row r="95" spans="1:145" s="254" customFormat="1">
      <c r="A95" s="181" t="s">
        <v>121</v>
      </c>
      <c r="B95" s="181">
        <f>B93+B91</f>
        <v>17.899999999999999</v>
      </c>
      <c r="C95" s="181"/>
      <c r="D95" s="181"/>
      <c r="E95" s="181"/>
      <c r="F95" s="181"/>
      <c r="G95" s="181"/>
      <c r="H95" s="181"/>
      <c r="I95" s="181"/>
      <c r="J95" s="181"/>
      <c r="K95" s="181"/>
      <c r="L95" s="181"/>
      <c r="M95" s="181"/>
      <c r="N95" s="181"/>
      <c r="O95" s="181"/>
      <c r="P95" s="181"/>
      <c r="Q95" s="181"/>
      <c r="R95" s="181"/>
      <c r="S95" s="181"/>
      <c r="T95" s="181"/>
      <c r="U95" s="181"/>
      <c r="V95" s="181"/>
      <c r="W95" s="181"/>
      <c r="X95" s="181"/>
      <c r="Y95" s="181"/>
      <c r="Z95" s="181"/>
      <c r="AA95" s="181"/>
      <c r="AB95" s="181"/>
      <c r="AC95" s="181"/>
      <c r="AD95" s="181"/>
      <c r="AE95" s="181"/>
      <c r="AF95" s="181"/>
      <c r="AG95" s="181"/>
      <c r="AH95" s="181"/>
      <c r="AI95" s="181"/>
      <c r="AJ95" s="181"/>
      <c r="AK95" s="181"/>
      <c r="AL95" s="181"/>
      <c r="AM95" s="181"/>
      <c r="AN95" s="181"/>
      <c r="AO95" s="181"/>
      <c r="AP95" s="181"/>
      <c r="AQ95" s="181"/>
      <c r="AR95" s="181"/>
      <c r="AS95" s="181"/>
      <c r="AT95" s="181"/>
      <c r="AU95" s="181"/>
      <c r="AV95" s="181"/>
      <c r="AW95" s="181"/>
      <c r="AX95" s="181"/>
      <c r="AY95" s="181"/>
      <c r="AZ95" s="181"/>
      <c r="BA95" s="181"/>
      <c r="BB95" s="181"/>
      <c r="BC95" s="181"/>
      <c r="BD95" s="181"/>
      <c r="BE95" s="181"/>
      <c r="BF95" s="181"/>
      <c r="BG95" s="181"/>
      <c r="BH95" s="181"/>
      <c r="BI95" s="181"/>
      <c r="BJ95" s="181"/>
      <c r="BK95" s="181"/>
      <c r="BL95" s="181"/>
      <c r="BM95" s="181"/>
      <c r="BN95" s="181"/>
      <c r="BO95" s="181"/>
      <c r="BP95" s="181"/>
      <c r="BQ95" s="181"/>
      <c r="BR95" s="181"/>
      <c r="BS95" s="181"/>
      <c r="BT95" s="181"/>
      <c r="BU95" s="173"/>
      <c r="BV95" s="173"/>
      <c r="BW95" s="173"/>
      <c r="BX95" s="173"/>
      <c r="BY95" s="173"/>
      <c r="BZ95" s="173"/>
      <c r="CA95" s="173"/>
      <c r="CB95" s="173"/>
      <c r="CC95" s="173"/>
      <c r="CD95" s="173"/>
      <c r="CE95" s="173"/>
      <c r="CF95" s="173"/>
      <c r="CG95" s="173"/>
      <c r="CH95" s="173"/>
      <c r="CI95" s="173"/>
      <c r="CJ95" s="173"/>
      <c r="CK95" s="173"/>
      <c r="CL95" s="173"/>
      <c r="CM95" s="181"/>
      <c r="CN95" s="181"/>
      <c r="CO95" s="181"/>
      <c r="CP95" s="181"/>
      <c r="CQ95" s="181"/>
      <c r="CR95" s="173"/>
      <c r="CS95" s="173"/>
      <c r="CT95" s="446"/>
      <c r="CU95" s="446"/>
      <c r="CV95" s="446"/>
      <c r="CW95" s="446"/>
      <c r="CX95" s="446"/>
      <c r="CY95" s="446"/>
      <c r="CZ95" s="446"/>
      <c r="DA95" s="446"/>
      <c r="DB95" s="446"/>
      <c r="DC95" s="446"/>
      <c r="DD95" s="446"/>
      <c r="DE95" s="446"/>
      <c r="DF95" s="446"/>
      <c r="DG95" s="446"/>
      <c r="DH95" s="446"/>
      <c r="DI95" s="446"/>
      <c r="DJ95" s="446"/>
      <c r="DK95" s="446"/>
      <c r="DL95" s="446"/>
      <c r="DM95" s="446"/>
      <c r="DN95" s="446"/>
      <c r="DO95" s="446"/>
      <c r="DP95" s="446"/>
      <c r="DQ95" s="446"/>
      <c r="DR95" s="446"/>
      <c r="DS95" s="446"/>
      <c r="DT95" s="446"/>
      <c r="DU95" s="446"/>
      <c r="DV95" s="446"/>
      <c r="DW95" s="446"/>
      <c r="DX95" s="446"/>
      <c r="DY95" s="446"/>
      <c r="DZ95" s="446"/>
      <c r="EA95" s="446"/>
      <c r="EB95" s="446"/>
      <c r="EC95" s="446"/>
      <c r="ED95" s="446"/>
      <c r="EE95" s="446"/>
      <c r="EF95" s="446"/>
      <c r="EG95" s="446"/>
      <c r="EH95" s="446"/>
      <c r="EI95" s="446"/>
      <c r="EJ95" s="446"/>
      <c r="EK95" s="446"/>
      <c r="EL95" s="446"/>
      <c r="EM95" s="446"/>
      <c r="EN95" s="446"/>
      <c r="EO95" s="446"/>
    </row>
    <row r="96" spans="1:145" s="254" customFormat="1">
      <c r="A96" s="181" t="s">
        <v>119</v>
      </c>
      <c r="B96" s="181">
        <f>2*B93</f>
        <v>22.84</v>
      </c>
      <c r="C96" s="181"/>
      <c r="D96" s="181"/>
      <c r="E96" s="181"/>
      <c r="F96" s="181"/>
      <c r="G96" s="181"/>
      <c r="H96" s="181"/>
      <c r="I96" s="181"/>
      <c r="J96" s="181"/>
      <c r="K96" s="181"/>
      <c r="L96" s="181"/>
      <c r="M96" s="181"/>
      <c r="N96" s="181"/>
      <c r="O96" s="181"/>
      <c r="P96" s="181"/>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c r="AN96" s="181"/>
      <c r="AO96" s="181"/>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1"/>
      <c r="BM96" s="181"/>
      <c r="BN96" s="181"/>
      <c r="BO96" s="181"/>
      <c r="BP96" s="181"/>
      <c r="BQ96" s="181"/>
      <c r="BR96" s="181"/>
      <c r="BS96" s="181"/>
      <c r="BT96" s="181"/>
      <c r="BU96" s="173"/>
      <c r="BV96" s="173"/>
      <c r="BW96" s="173"/>
      <c r="BX96" s="173"/>
      <c r="BY96" s="173"/>
      <c r="BZ96" s="173"/>
      <c r="CA96" s="173"/>
      <c r="CB96" s="173"/>
      <c r="CC96" s="173"/>
      <c r="CD96" s="173"/>
      <c r="CE96" s="173"/>
      <c r="CF96" s="173"/>
      <c r="CG96" s="173"/>
      <c r="CH96" s="173"/>
      <c r="CI96" s="173"/>
      <c r="CJ96" s="173"/>
      <c r="CK96" s="173"/>
      <c r="CL96" s="173"/>
      <c r="CM96" s="181"/>
      <c r="CN96" s="181"/>
      <c r="CO96" s="181"/>
      <c r="CP96" s="181"/>
      <c r="CQ96" s="181"/>
      <c r="CR96" s="173"/>
      <c r="CS96" s="173"/>
      <c r="CT96" s="446"/>
      <c r="CU96" s="446"/>
      <c r="CV96" s="446"/>
      <c r="CW96" s="446"/>
      <c r="CX96" s="446"/>
      <c r="CY96" s="446"/>
      <c r="CZ96" s="446"/>
      <c r="DA96" s="446"/>
      <c r="DB96" s="446"/>
      <c r="DC96" s="446"/>
      <c r="DD96" s="446"/>
      <c r="DE96" s="446"/>
      <c r="DF96" s="446"/>
      <c r="DG96" s="446"/>
      <c r="DH96" s="446"/>
      <c r="DI96" s="446"/>
      <c r="DJ96" s="446"/>
      <c r="DK96" s="446"/>
      <c r="DL96" s="446"/>
      <c r="DM96" s="446"/>
      <c r="DN96" s="446"/>
      <c r="DO96" s="446"/>
      <c r="DP96" s="446"/>
      <c r="DQ96" s="446"/>
      <c r="DR96" s="446"/>
      <c r="DS96" s="446"/>
      <c r="DT96" s="446"/>
      <c r="DU96" s="446"/>
      <c r="DV96" s="446"/>
      <c r="DW96" s="446"/>
      <c r="DX96" s="446"/>
      <c r="DY96" s="446"/>
      <c r="DZ96" s="446"/>
      <c r="EA96" s="446"/>
      <c r="EB96" s="446"/>
      <c r="EC96" s="446"/>
      <c r="ED96" s="446"/>
      <c r="EE96" s="446"/>
      <c r="EF96" s="446"/>
      <c r="EG96" s="446"/>
      <c r="EH96" s="446"/>
      <c r="EI96" s="446"/>
      <c r="EJ96" s="446"/>
      <c r="EK96" s="446"/>
      <c r="EL96" s="446"/>
      <c r="EM96" s="446"/>
      <c r="EN96" s="446"/>
      <c r="EO96" s="446"/>
    </row>
    <row r="97" spans="1:145" s="254" customFormat="1">
      <c r="A97" s="181" t="s">
        <v>681</v>
      </c>
      <c r="B97" s="181">
        <v>4.68</v>
      </c>
      <c r="C97" s="181"/>
      <c r="D97" s="181"/>
      <c r="E97" s="181"/>
      <c r="F97" s="181"/>
      <c r="G97" s="181"/>
      <c r="H97" s="181"/>
      <c r="I97" s="181"/>
      <c r="J97" s="181"/>
      <c r="K97" s="181"/>
      <c r="L97" s="181"/>
      <c r="M97" s="181"/>
      <c r="N97" s="181"/>
      <c r="O97" s="181"/>
      <c r="P97" s="181"/>
      <c r="Q97" s="181"/>
      <c r="R97" s="181"/>
      <c r="S97" s="181"/>
      <c r="T97" s="181"/>
      <c r="U97" s="181"/>
      <c r="V97" s="181"/>
      <c r="W97" s="181"/>
      <c r="X97" s="181"/>
      <c r="Y97" s="181"/>
      <c r="Z97" s="181"/>
      <c r="AA97" s="181"/>
      <c r="AB97" s="181"/>
      <c r="AC97" s="181"/>
      <c r="AD97" s="181"/>
      <c r="AE97" s="181"/>
      <c r="AF97" s="181"/>
      <c r="AG97" s="181"/>
      <c r="AH97" s="181"/>
      <c r="AI97" s="181"/>
      <c r="AJ97" s="181"/>
      <c r="AK97" s="181"/>
      <c r="AL97" s="181"/>
      <c r="AM97" s="181"/>
      <c r="AN97" s="181"/>
      <c r="AO97" s="181"/>
      <c r="AP97" s="181"/>
      <c r="AQ97" s="181"/>
      <c r="AR97" s="181"/>
      <c r="AS97" s="181"/>
      <c r="AT97" s="181"/>
      <c r="AU97" s="181"/>
      <c r="AV97" s="181"/>
      <c r="AW97" s="181"/>
      <c r="AX97" s="181"/>
      <c r="AY97" s="181"/>
      <c r="AZ97" s="181"/>
      <c r="BA97" s="181"/>
      <c r="BB97" s="181"/>
      <c r="BC97" s="181"/>
      <c r="BD97" s="181"/>
      <c r="BE97" s="181"/>
      <c r="BF97" s="181"/>
      <c r="BG97" s="181"/>
      <c r="BH97" s="181"/>
      <c r="BI97" s="181"/>
      <c r="BJ97" s="181"/>
      <c r="BK97" s="181"/>
      <c r="BL97" s="181"/>
      <c r="BM97" s="181"/>
      <c r="BN97" s="181"/>
      <c r="BO97" s="181"/>
      <c r="BP97" s="181"/>
      <c r="BQ97" s="181"/>
      <c r="BR97" s="181"/>
      <c r="BS97" s="181"/>
      <c r="BT97" s="181"/>
      <c r="BU97" s="173"/>
      <c r="BV97" s="173"/>
      <c r="BW97" s="173"/>
      <c r="BX97" s="173"/>
      <c r="BY97" s="173"/>
      <c r="BZ97" s="173"/>
      <c r="CA97" s="173"/>
      <c r="CB97" s="173"/>
      <c r="CC97" s="173"/>
      <c r="CD97" s="173"/>
      <c r="CE97" s="173"/>
      <c r="CF97" s="173"/>
      <c r="CG97" s="173"/>
      <c r="CH97" s="173"/>
      <c r="CI97" s="173"/>
      <c r="CJ97" s="173"/>
      <c r="CK97" s="173"/>
      <c r="CL97" s="173"/>
      <c r="CM97" s="181"/>
      <c r="CN97" s="181"/>
      <c r="CO97" s="181"/>
      <c r="CP97" s="181"/>
      <c r="CQ97" s="181"/>
      <c r="CR97" s="173"/>
      <c r="CS97" s="173"/>
      <c r="CT97" s="446"/>
      <c r="CU97" s="446"/>
      <c r="CV97" s="446"/>
      <c r="CW97" s="446"/>
      <c r="CX97" s="446"/>
      <c r="CY97" s="446"/>
      <c r="CZ97" s="446"/>
      <c r="DA97" s="446"/>
      <c r="DB97" s="446"/>
      <c r="DC97" s="446"/>
      <c r="DD97" s="446"/>
      <c r="DE97" s="446"/>
      <c r="DF97" s="446"/>
      <c r="DG97" s="446"/>
      <c r="DH97" s="446"/>
      <c r="DI97" s="446"/>
      <c r="DJ97" s="446"/>
      <c r="DK97" s="446"/>
      <c r="DL97" s="446"/>
      <c r="DM97" s="446"/>
      <c r="DN97" s="446"/>
      <c r="DO97" s="446"/>
      <c r="DP97" s="446"/>
      <c r="DQ97" s="446"/>
      <c r="DR97" s="446"/>
      <c r="DS97" s="446"/>
      <c r="DT97" s="446"/>
      <c r="DU97" s="446"/>
      <c r="DV97" s="446"/>
      <c r="DW97" s="446"/>
      <c r="DX97" s="446"/>
      <c r="DY97" s="446"/>
      <c r="DZ97" s="446"/>
      <c r="EA97" s="446"/>
      <c r="EB97" s="446"/>
      <c r="EC97" s="446"/>
      <c r="ED97" s="446"/>
      <c r="EE97" s="446"/>
      <c r="EF97" s="446"/>
      <c r="EG97" s="446"/>
      <c r="EH97" s="446"/>
      <c r="EI97" s="446"/>
      <c r="EJ97" s="446"/>
      <c r="EK97" s="446"/>
      <c r="EL97" s="446"/>
      <c r="EM97" s="446"/>
      <c r="EN97" s="446"/>
      <c r="EO97" s="446"/>
    </row>
    <row r="98" spans="1:145" s="254" customFormat="1">
      <c r="A98" s="181" t="s">
        <v>813</v>
      </c>
      <c r="B98" s="181">
        <v>7.11</v>
      </c>
      <c r="C98" s="181"/>
      <c r="D98" s="181"/>
      <c r="E98" s="181"/>
      <c r="F98" s="181"/>
      <c r="G98" s="181"/>
      <c r="H98" s="181"/>
      <c r="I98" s="181"/>
      <c r="J98" s="181"/>
      <c r="K98" s="181"/>
      <c r="L98" s="181"/>
      <c r="M98" s="181"/>
      <c r="N98" s="181"/>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181"/>
      <c r="AL98" s="181"/>
      <c r="AM98" s="181"/>
      <c r="AN98" s="181"/>
      <c r="AO98" s="181"/>
      <c r="AP98" s="181"/>
      <c r="AQ98" s="181"/>
      <c r="AR98" s="181"/>
      <c r="AS98" s="181"/>
      <c r="AT98" s="181"/>
      <c r="AU98" s="181"/>
      <c r="AV98" s="181"/>
      <c r="AW98" s="181"/>
      <c r="AX98" s="181"/>
      <c r="AY98" s="181"/>
      <c r="AZ98" s="181"/>
      <c r="BA98" s="181"/>
      <c r="BB98" s="181"/>
      <c r="BC98" s="181"/>
      <c r="BD98" s="181"/>
      <c r="BE98" s="181"/>
      <c r="BF98" s="181"/>
      <c r="BG98" s="181"/>
      <c r="BH98" s="181"/>
      <c r="BI98" s="181"/>
      <c r="BJ98" s="181"/>
      <c r="BK98" s="181"/>
      <c r="BL98" s="181"/>
      <c r="BM98" s="181"/>
      <c r="BN98" s="181"/>
      <c r="BO98" s="181"/>
      <c r="BP98" s="181"/>
      <c r="BQ98" s="181"/>
      <c r="BR98" s="181"/>
      <c r="BS98" s="181"/>
      <c r="BT98" s="181"/>
      <c r="BU98" s="173"/>
      <c r="BV98" s="173"/>
      <c r="BW98" s="173"/>
      <c r="BX98" s="173"/>
      <c r="BY98" s="173"/>
      <c r="BZ98" s="173"/>
      <c r="CA98" s="173"/>
      <c r="CB98" s="173"/>
      <c r="CC98" s="173"/>
      <c r="CD98" s="173"/>
      <c r="CE98" s="173"/>
      <c r="CF98" s="173"/>
      <c r="CG98" s="173"/>
      <c r="CH98" s="173"/>
      <c r="CI98" s="173"/>
      <c r="CJ98" s="173"/>
      <c r="CK98" s="173"/>
      <c r="CL98" s="173"/>
      <c r="CM98" s="181"/>
      <c r="CN98" s="181"/>
      <c r="CO98" s="181"/>
      <c r="CP98" s="181"/>
      <c r="CQ98" s="181"/>
      <c r="CR98" s="173"/>
      <c r="CS98" s="173"/>
      <c r="CT98" s="446"/>
      <c r="CU98" s="446"/>
      <c r="CV98" s="446"/>
      <c r="CW98" s="446"/>
      <c r="CX98" s="446"/>
      <c r="CY98" s="446"/>
      <c r="CZ98" s="446"/>
      <c r="DA98" s="446"/>
      <c r="DB98" s="446"/>
      <c r="DC98" s="446"/>
      <c r="DD98" s="446"/>
      <c r="DE98" s="446"/>
      <c r="DF98" s="446"/>
      <c r="DG98" s="446"/>
      <c r="DH98" s="446"/>
      <c r="DI98" s="446"/>
      <c r="DJ98" s="446"/>
      <c r="DK98" s="446"/>
      <c r="DL98" s="446"/>
      <c r="DM98" s="446"/>
      <c r="DN98" s="446"/>
      <c r="DO98" s="446"/>
      <c r="DP98" s="446"/>
      <c r="DQ98" s="446"/>
      <c r="DR98" s="446"/>
      <c r="DS98" s="446"/>
      <c r="DT98" s="446"/>
      <c r="DU98" s="446"/>
      <c r="DV98" s="446"/>
      <c r="DW98" s="446"/>
      <c r="DX98" s="446"/>
      <c r="DY98" s="446"/>
      <c r="DZ98" s="446"/>
      <c r="EA98" s="446"/>
      <c r="EB98" s="446"/>
      <c r="EC98" s="446"/>
      <c r="ED98" s="446"/>
      <c r="EE98" s="446"/>
      <c r="EF98" s="446"/>
      <c r="EG98" s="446"/>
      <c r="EH98" s="446"/>
      <c r="EI98" s="446"/>
      <c r="EJ98" s="446"/>
      <c r="EK98" s="446"/>
      <c r="EL98" s="446"/>
      <c r="EM98" s="446"/>
      <c r="EN98" s="446"/>
      <c r="EO98" s="446"/>
    </row>
    <row r="99" spans="1:145" s="254" customFormat="1">
      <c r="A99" s="181" t="s">
        <v>683</v>
      </c>
      <c r="B99" s="181">
        <v>12.11</v>
      </c>
      <c r="C99" s="181"/>
      <c r="D99" s="181"/>
      <c r="E99" s="181"/>
      <c r="F99" s="181"/>
      <c r="G99" s="181"/>
      <c r="H99" s="181"/>
      <c r="I99" s="181"/>
      <c r="J99" s="181"/>
      <c r="K99" s="181"/>
      <c r="L99" s="181"/>
      <c r="M99" s="181"/>
      <c r="N99" s="181"/>
      <c r="O99" s="181"/>
      <c r="P99" s="181"/>
      <c r="Q99" s="181"/>
      <c r="R99" s="181"/>
      <c r="S99" s="181"/>
      <c r="T99" s="181"/>
      <c r="U99" s="181"/>
      <c r="V99" s="181"/>
      <c r="W99" s="181"/>
      <c r="X99" s="181"/>
      <c r="Y99" s="181"/>
      <c r="Z99" s="181"/>
      <c r="AA99" s="181"/>
      <c r="AB99" s="181"/>
      <c r="AC99" s="181"/>
      <c r="AD99" s="181"/>
      <c r="AE99" s="181"/>
      <c r="AF99" s="181"/>
      <c r="AG99" s="181"/>
      <c r="AH99" s="181"/>
      <c r="AI99" s="181"/>
      <c r="AJ99" s="181"/>
      <c r="AK99" s="181"/>
      <c r="AL99" s="181"/>
      <c r="AM99" s="181"/>
      <c r="AN99" s="181"/>
      <c r="AO99" s="181"/>
      <c r="AP99" s="181"/>
      <c r="AQ99" s="181"/>
      <c r="AR99" s="181"/>
      <c r="AS99" s="181"/>
      <c r="AT99" s="181"/>
      <c r="AU99" s="181"/>
      <c r="AV99" s="181"/>
      <c r="AW99" s="181"/>
      <c r="AX99" s="181"/>
      <c r="AY99" s="181"/>
      <c r="AZ99" s="181"/>
      <c r="BA99" s="181"/>
      <c r="BB99" s="181"/>
      <c r="BC99" s="181"/>
      <c r="BD99" s="181"/>
      <c r="BE99" s="181"/>
      <c r="BF99" s="181"/>
      <c r="BG99" s="181"/>
      <c r="BH99" s="181"/>
      <c r="BI99" s="181"/>
      <c r="BJ99" s="181"/>
      <c r="BK99" s="181"/>
      <c r="BL99" s="181"/>
      <c r="BM99" s="181"/>
      <c r="BN99" s="181"/>
      <c r="BO99" s="181"/>
      <c r="BP99" s="181"/>
      <c r="BQ99" s="181"/>
      <c r="BR99" s="181"/>
      <c r="BS99" s="181"/>
      <c r="BT99" s="181"/>
      <c r="BU99" s="173"/>
      <c r="BV99" s="173"/>
      <c r="BW99" s="173"/>
      <c r="BX99" s="173"/>
      <c r="BY99" s="173"/>
      <c r="BZ99" s="173"/>
      <c r="CA99" s="173"/>
      <c r="CB99" s="173"/>
      <c r="CC99" s="173"/>
      <c r="CD99" s="173"/>
      <c r="CE99" s="173"/>
      <c r="CF99" s="173"/>
      <c r="CG99" s="173"/>
      <c r="CH99" s="173"/>
      <c r="CI99" s="173"/>
      <c r="CJ99" s="173"/>
      <c r="CK99" s="173"/>
      <c r="CL99" s="173"/>
      <c r="CM99" s="181"/>
      <c r="CN99" s="181"/>
      <c r="CO99" s="181"/>
      <c r="CP99" s="181"/>
      <c r="CQ99" s="181"/>
      <c r="CR99" s="173"/>
      <c r="CS99" s="173"/>
      <c r="CT99" s="446"/>
      <c r="CU99" s="446"/>
      <c r="CV99" s="446"/>
      <c r="CW99" s="446"/>
      <c r="CX99" s="446"/>
      <c r="CY99" s="446"/>
      <c r="CZ99" s="446"/>
      <c r="DA99" s="446"/>
      <c r="DB99" s="446"/>
      <c r="DC99" s="446"/>
      <c r="DD99" s="446"/>
      <c r="DE99" s="446"/>
      <c r="DF99" s="446"/>
      <c r="DG99" s="446"/>
      <c r="DH99" s="446"/>
      <c r="DI99" s="446"/>
      <c r="DJ99" s="446"/>
      <c r="DK99" s="446"/>
      <c r="DL99" s="446"/>
      <c r="DM99" s="446"/>
      <c r="DN99" s="446"/>
      <c r="DO99" s="446"/>
      <c r="DP99" s="446"/>
      <c r="DQ99" s="446"/>
      <c r="DR99" s="446"/>
      <c r="DS99" s="446"/>
      <c r="DT99" s="446"/>
      <c r="DU99" s="446"/>
      <c r="DV99" s="446"/>
      <c r="DW99" s="446"/>
      <c r="DX99" s="446"/>
      <c r="DY99" s="446"/>
      <c r="DZ99" s="446"/>
      <c r="EA99" s="446"/>
      <c r="EB99" s="446"/>
      <c r="EC99" s="446"/>
      <c r="ED99" s="446"/>
      <c r="EE99" s="446"/>
      <c r="EF99" s="446"/>
      <c r="EG99" s="446"/>
      <c r="EH99" s="446"/>
      <c r="EI99" s="446"/>
      <c r="EJ99" s="446"/>
      <c r="EK99" s="446"/>
      <c r="EL99" s="446"/>
      <c r="EM99" s="446"/>
      <c r="EN99" s="446"/>
      <c r="EO99" s="446"/>
    </row>
    <row r="100" spans="1:145" s="254" customFormat="1">
      <c r="A100" s="181" t="str">
        <f>M127</f>
        <v>Hitachi Split 2.0</v>
      </c>
      <c r="B100" s="181"/>
      <c r="C100" s="181"/>
      <c r="D100" s="181"/>
      <c r="E100" s="181"/>
      <c r="F100" s="181"/>
      <c r="G100" s="181"/>
      <c r="H100" s="181"/>
      <c r="I100" s="181"/>
      <c r="J100" s="181"/>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1"/>
      <c r="AN100" s="181"/>
      <c r="AO100" s="181"/>
      <c r="AP100" s="181"/>
      <c r="AQ100" s="181"/>
      <c r="AR100" s="181"/>
      <c r="AS100" s="181"/>
      <c r="AT100" s="181"/>
      <c r="AU100" s="181"/>
      <c r="AV100" s="181"/>
      <c r="AW100" s="181"/>
      <c r="AX100" s="181"/>
      <c r="AY100" s="181"/>
      <c r="AZ100" s="181"/>
      <c r="BA100" s="181"/>
      <c r="BB100" s="181"/>
      <c r="BC100" s="181"/>
      <c r="BD100" s="181"/>
      <c r="BE100" s="181"/>
      <c r="BF100" s="181"/>
      <c r="BG100" s="181"/>
      <c r="BH100" s="181"/>
      <c r="BI100" s="181"/>
      <c r="BJ100" s="181"/>
      <c r="BK100" s="181"/>
      <c r="BL100" s="181"/>
      <c r="BM100" s="181"/>
      <c r="BN100" s="181"/>
      <c r="BO100" s="181"/>
      <c r="BP100" s="181"/>
      <c r="BQ100" s="181"/>
      <c r="BR100" s="181"/>
      <c r="BS100" s="181"/>
      <c r="BT100" s="181"/>
      <c r="BU100" s="173"/>
      <c r="BV100" s="173"/>
      <c r="BW100" s="173"/>
      <c r="BX100" s="173"/>
      <c r="BY100" s="173"/>
      <c r="BZ100" s="173"/>
      <c r="CA100" s="173"/>
      <c r="CB100" s="173"/>
      <c r="CC100" s="173"/>
      <c r="CD100" s="173"/>
      <c r="CE100" s="173"/>
      <c r="CF100" s="173"/>
      <c r="CG100" s="173"/>
      <c r="CH100" s="173"/>
      <c r="CI100" s="173"/>
      <c r="CJ100" s="173"/>
      <c r="CK100" s="173"/>
      <c r="CL100" s="173"/>
      <c r="CM100" s="181"/>
      <c r="CN100" s="181"/>
      <c r="CO100" s="181"/>
      <c r="CP100" s="181"/>
      <c r="CQ100" s="181"/>
      <c r="CR100" s="173"/>
      <c r="CS100" s="173"/>
      <c r="CT100" s="446"/>
      <c r="CU100" s="446"/>
      <c r="CV100" s="446"/>
      <c r="CW100" s="446"/>
      <c r="CX100" s="446"/>
      <c r="CY100" s="446"/>
      <c r="CZ100" s="446"/>
      <c r="DA100" s="446"/>
      <c r="DB100" s="446"/>
      <c r="DC100" s="446"/>
      <c r="DD100" s="446"/>
      <c r="DE100" s="446"/>
      <c r="DF100" s="446"/>
      <c r="DG100" s="446"/>
      <c r="DH100" s="446"/>
      <c r="DI100" s="446"/>
      <c r="DJ100" s="446"/>
      <c r="DK100" s="446"/>
      <c r="DL100" s="446"/>
      <c r="DM100" s="446"/>
      <c r="DN100" s="446"/>
      <c r="DO100" s="446"/>
      <c r="DP100" s="446"/>
      <c r="DQ100" s="446"/>
      <c r="DR100" s="446"/>
      <c r="DS100" s="446"/>
      <c r="DT100" s="446"/>
      <c r="DU100" s="446"/>
      <c r="DV100" s="446"/>
      <c r="DW100" s="446"/>
      <c r="DX100" s="446"/>
      <c r="DY100" s="446"/>
      <c r="DZ100" s="446"/>
      <c r="EA100" s="446"/>
      <c r="EB100" s="446"/>
      <c r="EC100" s="446"/>
      <c r="ED100" s="446"/>
      <c r="EE100" s="446"/>
      <c r="EF100" s="446"/>
      <c r="EG100" s="446"/>
      <c r="EH100" s="446"/>
      <c r="EI100" s="446"/>
      <c r="EJ100" s="446"/>
      <c r="EK100" s="446"/>
      <c r="EL100" s="446"/>
      <c r="EM100" s="446"/>
      <c r="EN100" s="446"/>
      <c r="EO100" s="446"/>
    </row>
    <row r="101" spans="1:145" s="181" customFormat="1">
      <c r="A101" s="181" t="str">
        <f>N127</f>
        <v>Hitachi Combi 2.0</v>
      </c>
      <c r="BU101" s="173"/>
      <c r="BV101" s="173"/>
      <c r="BW101" s="173"/>
      <c r="BX101" s="173"/>
      <c r="BY101" s="173"/>
      <c r="BZ101" s="173"/>
      <c r="CA101" s="173"/>
      <c r="CB101" s="173"/>
      <c r="CC101" s="173"/>
      <c r="CD101" s="173"/>
      <c r="CE101" s="173"/>
      <c r="CF101" s="173"/>
      <c r="CG101" s="173"/>
      <c r="CH101" s="173"/>
      <c r="CI101" s="173"/>
      <c r="CJ101" s="173"/>
      <c r="CK101" s="173"/>
      <c r="CL101" s="173"/>
      <c r="CR101" s="173"/>
      <c r="CS101" s="173"/>
    </row>
    <row r="102" spans="1:145" s="181" customFormat="1">
      <c r="A102" s="181" t="str">
        <f>O127</f>
        <v>Hitachi Split 3.0</v>
      </c>
      <c r="BU102" s="173"/>
      <c r="BV102" s="173"/>
      <c r="BW102" s="173"/>
      <c r="BX102" s="173"/>
      <c r="BY102" s="173"/>
      <c r="BZ102" s="173"/>
      <c r="CA102" s="173"/>
      <c r="CB102" s="173"/>
      <c r="CC102" s="173"/>
      <c r="CD102" s="173"/>
      <c r="CE102" s="173"/>
      <c r="CF102" s="173"/>
      <c r="CG102" s="173"/>
      <c r="CH102" s="173"/>
      <c r="CI102" s="173"/>
      <c r="CJ102" s="173"/>
      <c r="CK102" s="173"/>
      <c r="CL102" s="173"/>
      <c r="CR102" s="173"/>
      <c r="CS102" s="173"/>
    </row>
    <row r="103" spans="1:145" s="181" customFormat="1">
      <c r="A103" s="181" t="str">
        <f>P127</f>
        <v>Hitachi Combi 3.0</v>
      </c>
      <c r="BU103" s="173"/>
      <c r="BV103" s="173"/>
      <c r="BW103" s="173"/>
      <c r="BX103" s="173"/>
      <c r="BY103" s="173"/>
      <c r="BZ103" s="173"/>
      <c r="CA103" s="173"/>
      <c r="CB103" s="173"/>
      <c r="CC103" s="173"/>
      <c r="CD103" s="173"/>
      <c r="CE103" s="173"/>
      <c r="CF103" s="173"/>
      <c r="CG103" s="173"/>
      <c r="CH103" s="173"/>
      <c r="CI103" s="173"/>
      <c r="CJ103" s="173"/>
      <c r="CK103" s="173"/>
      <c r="CL103" s="173"/>
      <c r="CR103" s="173"/>
      <c r="CS103" s="173"/>
    </row>
    <row r="104" spans="1:145" s="181" customFormat="1">
      <c r="A104" s="181" t="str">
        <f>Q127</f>
        <v>Hitachi Mono 3.0</v>
      </c>
      <c r="BU104" s="173"/>
      <c r="BV104" s="173"/>
      <c r="BW104" s="173"/>
      <c r="BX104" s="173"/>
      <c r="BY104" s="173"/>
      <c r="BZ104" s="173"/>
      <c r="CA104" s="173"/>
      <c r="CB104" s="173"/>
      <c r="CC104" s="173"/>
      <c r="CD104" s="173"/>
      <c r="CE104" s="173"/>
      <c r="CF104" s="173"/>
      <c r="CG104" s="173"/>
      <c r="CH104" s="173"/>
      <c r="CI104" s="173"/>
      <c r="CJ104" s="173"/>
      <c r="CK104" s="173"/>
      <c r="CL104" s="173"/>
      <c r="CR104" s="173"/>
      <c r="CS104" s="173"/>
    </row>
    <row r="105" spans="1:145" s="181" customFormat="1">
      <c r="A105" s="181" t="str">
        <f>R127</f>
        <v>Hitachi Split 4.0</v>
      </c>
      <c r="N105" s="181">
        <v>50</v>
      </c>
      <c r="BU105" s="173"/>
      <c r="BV105" s="173"/>
      <c r="BW105" s="173"/>
      <c r="BX105" s="173"/>
      <c r="BY105" s="173"/>
      <c r="BZ105" s="173"/>
      <c r="CA105" s="173"/>
      <c r="CB105" s="173"/>
      <c r="CC105" s="173"/>
      <c r="CD105" s="173"/>
      <c r="CE105" s="173"/>
      <c r="CF105" s="173"/>
      <c r="CG105" s="173"/>
      <c r="CH105" s="173"/>
      <c r="CI105" s="173"/>
      <c r="CJ105" s="173"/>
      <c r="CK105" s="173"/>
      <c r="CL105" s="173"/>
    </row>
    <row r="106" spans="1:145" s="181" customFormat="1">
      <c r="A106" s="181" t="str">
        <f>S127</f>
        <v>Hitachi Combi 4.0</v>
      </c>
      <c r="N106" s="181">
        <v>50</v>
      </c>
      <c r="BU106" s="173"/>
      <c r="BV106" s="173"/>
      <c r="BW106" s="173"/>
      <c r="BX106" s="173"/>
      <c r="BY106" s="173"/>
      <c r="BZ106" s="173"/>
      <c r="CA106" s="173"/>
      <c r="CB106" s="173"/>
      <c r="CC106" s="173"/>
      <c r="CD106" s="173"/>
      <c r="CE106" s="173"/>
      <c r="CF106" s="173"/>
      <c r="CG106" s="173"/>
      <c r="CH106" s="173"/>
      <c r="CI106" s="173"/>
      <c r="CJ106" s="173"/>
      <c r="CK106" s="173"/>
      <c r="CL106" s="173"/>
    </row>
    <row r="107" spans="1:145" s="181" customFormat="1">
      <c r="A107" s="181" t="str">
        <f>T127</f>
        <v>Hitachi Mono 4.0</v>
      </c>
      <c r="D107" s="181" t="s">
        <v>1074</v>
      </c>
      <c r="E107" s="181">
        <v>170</v>
      </c>
      <c r="N107" s="181">
        <v>50</v>
      </c>
      <c r="BU107" s="173"/>
      <c r="BV107" s="173"/>
      <c r="BW107" s="173"/>
      <c r="BX107" s="173"/>
      <c r="BY107" s="173"/>
      <c r="BZ107" s="173"/>
      <c r="CA107" s="173"/>
      <c r="CB107" s="173"/>
      <c r="CC107" s="173"/>
      <c r="CD107" s="173"/>
      <c r="CE107" s="173"/>
      <c r="CF107" s="173"/>
      <c r="CG107" s="173"/>
      <c r="CH107" s="173"/>
      <c r="CI107" s="173"/>
      <c r="CJ107" s="173"/>
      <c r="CK107" s="173"/>
      <c r="CL107" s="173"/>
    </row>
    <row r="108" spans="1:145" s="181" customFormat="1">
      <c r="A108" s="181" t="str">
        <f>U127</f>
        <v>Hitachi S80 HT 4.0</v>
      </c>
      <c r="D108" s="181" t="s">
        <v>1075</v>
      </c>
      <c r="E108" s="181">
        <v>200</v>
      </c>
      <c r="N108" s="181">
        <v>50</v>
      </c>
      <c r="BU108" s="173"/>
      <c r="BV108" s="173"/>
      <c r="BW108" s="173"/>
      <c r="BX108" s="173"/>
      <c r="BY108" s="173"/>
      <c r="BZ108" s="173"/>
      <c r="CA108" s="173"/>
      <c r="CB108" s="173"/>
      <c r="CC108" s="173"/>
      <c r="CD108" s="173"/>
      <c r="CE108" s="173"/>
      <c r="CF108" s="173"/>
      <c r="CG108" s="173"/>
      <c r="CH108" s="173"/>
      <c r="CI108" s="173"/>
      <c r="CJ108" s="173"/>
      <c r="CK108" s="173"/>
      <c r="CL108" s="173"/>
    </row>
    <row r="109" spans="1:145" s="181" customFormat="1">
      <c r="A109" s="181" t="str">
        <f>V127</f>
        <v>Hitachi Split 6.0</v>
      </c>
      <c r="D109" s="181" t="s">
        <v>1073</v>
      </c>
      <c r="E109" s="181">
        <v>250</v>
      </c>
      <c r="N109" s="181">
        <v>50</v>
      </c>
      <c r="BU109" s="173"/>
      <c r="BV109" s="173"/>
      <c r="BW109" s="173"/>
      <c r="BX109" s="173"/>
      <c r="BY109" s="173"/>
      <c r="BZ109" s="173"/>
      <c r="CA109" s="173"/>
      <c r="CB109" s="173"/>
      <c r="CC109" s="173"/>
      <c r="CD109" s="173"/>
      <c r="CE109" s="173"/>
      <c r="CF109" s="173"/>
      <c r="CG109" s="173"/>
      <c r="CH109" s="173"/>
      <c r="CI109" s="173"/>
      <c r="CJ109" s="173"/>
      <c r="CK109" s="173"/>
      <c r="CL109" s="173"/>
    </row>
    <row r="110" spans="1:145" s="181" customFormat="1">
      <c r="A110" s="181" t="str">
        <f>W127</f>
        <v>Hitachi Combi 6.0</v>
      </c>
      <c r="D110" s="181" t="s">
        <v>1072</v>
      </c>
      <c r="E110" s="181">
        <v>300</v>
      </c>
      <c r="N110" s="181">
        <v>50</v>
      </c>
      <c r="BU110" s="173"/>
      <c r="BV110" s="173"/>
      <c r="BW110" s="173"/>
      <c r="BX110" s="173"/>
      <c r="BY110" s="173"/>
      <c r="BZ110" s="173"/>
      <c r="CA110" s="173"/>
      <c r="CB110" s="173"/>
      <c r="CC110" s="173"/>
      <c r="CD110" s="173"/>
      <c r="CE110" s="173"/>
      <c r="CF110" s="173"/>
      <c r="CG110" s="173"/>
      <c r="CH110" s="173"/>
      <c r="CI110" s="173"/>
      <c r="CJ110" s="173"/>
      <c r="CK110" s="173"/>
      <c r="CL110" s="173"/>
    </row>
    <row r="111" spans="1:145" s="181" customFormat="1">
      <c r="A111" s="181" t="str">
        <f>X127</f>
        <v>Hitachi Mono 6.0</v>
      </c>
      <c r="D111" s="181" t="s">
        <v>1071</v>
      </c>
      <c r="E111" s="181">
        <v>400</v>
      </c>
      <c r="BU111" s="173"/>
      <c r="BV111" s="173"/>
      <c r="BW111" s="173"/>
      <c r="BX111" s="173"/>
      <c r="BY111" s="173"/>
      <c r="BZ111" s="173"/>
      <c r="CA111" s="173"/>
      <c r="CB111" s="173"/>
      <c r="CC111" s="173"/>
      <c r="CD111" s="173"/>
      <c r="CE111" s="173"/>
      <c r="CF111" s="173"/>
      <c r="CG111" s="173"/>
      <c r="CH111" s="173"/>
      <c r="CI111" s="173"/>
      <c r="CJ111" s="173"/>
      <c r="CK111" s="173"/>
      <c r="CL111" s="173"/>
    </row>
    <row r="112" spans="1:145" s="181" customFormat="1">
      <c r="A112" s="181" t="str">
        <f>Y127</f>
        <v>Hitachi S80 HT 6.0</v>
      </c>
      <c r="D112" s="181" t="s">
        <v>1076</v>
      </c>
      <c r="E112" s="181">
        <v>500</v>
      </c>
      <c r="BU112" s="173"/>
      <c r="BV112" s="173"/>
      <c r="BW112" s="173"/>
      <c r="BX112" s="173"/>
      <c r="BY112" s="173"/>
      <c r="BZ112" s="173"/>
      <c r="CA112" s="173"/>
      <c r="CB112" s="173"/>
      <c r="CC112" s="173"/>
      <c r="CD112" s="173"/>
      <c r="CE112" s="173"/>
      <c r="CF112" s="173"/>
      <c r="CG112" s="173"/>
      <c r="CH112" s="173"/>
      <c r="CI112" s="173"/>
      <c r="CJ112" s="173"/>
      <c r="CK112" s="173"/>
      <c r="CL112" s="173"/>
    </row>
    <row r="113" spans="1:90" s="181" customFormat="1">
      <c r="A113" s="181" t="str">
        <f>Z127</f>
        <v>Hitachi Split 8.0</v>
      </c>
      <c r="BU113" s="173"/>
      <c r="BV113" s="173"/>
      <c r="BW113" s="173"/>
      <c r="BX113" s="173"/>
      <c r="BY113" s="173"/>
      <c r="BZ113" s="173"/>
      <c r="CA113" s="173"/>
      <c r="CB113" s="173"/>
      <c r="CC113" s="173"/>
      <c r="CD113" s="173"/>
      <c r="CE113" s="173"/>
      <c r="CF113" s="173"/>
      <c r="CG113" s="173"/>
      <c r="CH113" s="173"/>
      <c r="CI113" s="173"/>
      <c r="CJ113" s="173"/>
      <c r="CK113" s="173"/>
      <c r="CL113" s="173"/>
    </row>
    <row r="114" spans="1:90" s="181" customFormat="1">
      <c r="A114" s="181" t="str">
        <f>AA127</f>
        <v>Hitachi Split 10.0</v>
      </c>
      <c r="BU114" s="173"/>
      <c r="BV114" s="173"/>
      <c r="BW114" s="173"/>
      <c r="BX114" s="173"/>
      <c r="BY114" s="173"/>
      <c r="BZ114" s="173"/>
      <c r="CA114" s="173"/>
      <c r="CB114" s="173"/>
      <c r="CC114" s="173"/>
      <c r="CD114" s="173"/>
      <c r="CE114" s="173"/>
      <c r="CF114" s="173"/>
      <c r="CG114" s="173"/>
      <c r="CH114" s="173"/>
      <c r="CI114" s="173"/>
      <c r="CJ114" s="173"/>
      <c r="CK114" s="173"/>
      <c r="CL114" s="173"/>
    </row>
    <row r="115" spans="1:90" s="181" customFormat="1">
      <c r="BU115" s="173"/>
      <c r="BV115" s="173"/>
      <c r="BW115" s="173"/>
      <c r="BX115" s="173"/>
      <c r="BY115" s="173"/>
      <c r="BZ115" s="173"/>
      <c r="CA115" s="173"/>
      <c r="CB115" s="173"/>
      <c r="CC115" s="173"/>
      <c r="CD115" s="173"/>
      <c r="CE115" s="173"/>
      <c r="CF115" s="173"/>
      <c r="CG115" s="173"/>
      <c r="CH115" s="173"/>
      <c r="CI115" s="173"/>
      <c r="CJ115" s="173"/>
      <c r="CK115" s="173"/>
      <c r="CL115" s="173"/>
    </row>
    <row r="116" spans="1:90" s="181" customFormat="1">
      <c r="A116" s="181" t="s">
        <v>203</v>
      </c>
      <c r="D116" s="181" t="s">
        <v>204</v>
      </c>
      <c r="F116" s="181">
        <f>(VLOOKUP(E8,A90:B105,2,FALSE))</f>
        <v>6.48</v>
      </c>
      <c r="BU116" s="173"/>
      <c r="BV116" s="173"/>
      <c r="BW116" s="173"/>
      <c r="BX116" s="173"/>
      <c r="BY116" s="173"/>
      <c r="BZ116" s="173"/>
      <c r="CA116" s="173"/>
      <c r="CB116" s="173"/>
      <c r="CC116" s="173"/>
      <c r="CD116" s="173"/>
      <c r="CE116" s="173"/>
      <c r="CF116" s="173"/>
      <c r="CG116" s="173"/>
      <c r="CH116" s="173"/>
      <c r="CI116" s="173"/>
      <c r="CJ116" s="173"/>
      <c r="CK116" s="173"/>
      <c r="CL116" s="173"/>
    </row>
    <row r="117" spans="1:90" s="181" customFormat="1">
      <c r="A117" s="181">
        <v>-1</v>
      </c>
      <c r="D117" s="181">
        <v>0.04</v>
      </c>
      <c r="BU117" s="173"/>
      <c r="BV117" s="173"/>
      <c r="BW117" s="173"/>
      <c r="BX117" s="173"/>
      <c r="BY117" s="173"/>
      <c r="BZ117" s="173"/>
      <c r="CA117" s="173"/>
      <c r="CB117" s="173"/>
      <c r="CC117" s="173"/>
      <c r="CD117" s="173"/>
      <c r="CE117" s="173"/>
      <c r="CF117" s="173"/>
      <c r="CG117" s="173"/>
      <c r="CH117" s="173"/>
      <c r="CI117" s="173"/>
      <c r="CJ117" s="173"/>
      <c r="CK117" s="173"/>
      <c r="CL117" s="173"/>
    </row>
    <row r="118" spans="1:90" s="181" customFormat="1">
      <c r="A118" s="181">
        <v>0</v>
      </c>
      <c r="D118" s="181">
        <v>0.08</v>
      </c>
      <c r="BU118" s="173"/>
      <c r="BV118" s="173"/>
      <c r="BW118" s="173"/>
      <c r="BX118" s="173"/>
      <c r="BY118" s="173"/>
      <c r="BZ118" s="173"/>
      <c r="CA118" s="173"/>
      <c r="CB118" s="173"/>
      <c r="CC118" s="173"/>
      <c r="CD118" s="173"/>
      <c r="CE118" s="173"/>
      <c r="CF118" s="173"/>
      <c r="CG118" s="173"/>
      <c r="CH118" s="173"/>
      <c r="CI118" s="173"/>
      <c r="CJ118" s="173"/>
      <c r="CK118" s="173"/>
      <c r="CL118" s="173"/>
    </row>
    <row r="119" spans="1:90" s="181" customFormat="1">
      <c r="A119" s="181">
        <v>1</v>
      </c>
      <c r="D119" s="181">
        <v>0.12</v>
      </c>
      <c r="F119" s="181">
        <f>IF(F116&gt;11,"11",F116)</f>
        <v>6.48</v>
      </c>
      <c r="BU119" s="173"/>
      <c r="BV119" s="173"/>
      <c r="BW119" s="173"/>
      <c r="BX119" s="173"/>
      <c r="BY119" s="173"/>
      <c r="BZ119" s="173"/>
      <c r="CA119" s="173"/>
      <c r="CB119" s="173"/>
      <c r="CC119" s="173"/>
      <c r="CD119" s="173"/>
      <c r="CE119" s="173"/>
      <c r="CF119" s="173"/>
      <c r="CG119" s="173"/>
      <c r="CH119" s="173"/>
      <c r="CI119" s="173"/>
      <c r="CJ119" s="173"/>
      <c r="CK119" s="173"/>
      <c r="CL119" s="173"/>
    </row>
    <row r="120" spans="1:90" s="181" customFormat="1">
      <c r="A120" s="181">
        <v>2</v>
      </c>
      <c r="D120" s="181">
        <v>0.17</v>
      </c>
      <c r="BU120" s="173"/>
      <c r="BV120" s="173"/>
      <c r="BW120" s="173"/>
      <c r="BX120" s="173"/>
      <c r="BY120" s="173"/>
      <c r="BZ120" s="173"/>
      <c r="CA120" s="173"/>
      <c r="CB120" s="173"/>
      <c r="CC120" s="173"/>
      <c r="CD120" s="173"/>
      <c r="CE120" s="173"/>
      <c r="CF120" s="173"/>
      <c r="CG120" s="173"/>
      <c r="CH120" s="173"/>
      <c r="CI120" s="173"/>
      <c r="CJ120" s="173"/>
      <c r="CK120" s="173"/>
      <c r="CL120" s="173"/>
    </row>
    <row r="121" spans="1:90" s="181" customFormat="1">
      <c r="A121" s="181">
        <v>3</v>
      </c>
      <c r="D121" s="181">
        <v>0.25</v>
      </c>
      <c r="BU121" s="173"/>
      <c r="BV121" s="173"/>
      <c r="BW121" s="173"/>
      <c r="BX121" s="173"/>
      <c r="BY121" s="173"/>
      <c r="BZ121" s="173"/>
      <c r="CA121" s="173"/>
      <c r="CB121" s="173"/>
      <c r="CC121" s="173"/>
      <c r="CD121" s="173"/>
      <c r="CE121" s="173"/>
      <c r="CF121" s="173"/>
      <c r="CG121" s="173"/>
      <c r="CH121" s="173"/>
      <c r="CI121" s="173"/>
      <c r="CJ121" s="173"/>
      <c r="CK121" s="173"/>
      <c r="CL121" s="173"/>
    </row>
    <row r="122" spans="1:90" s="181" customFormat="1">
      <c r="A122" s="181">
        <v>4</v>
      </c>
      <c r="D122" s="181">
        <v>0.32</v>
      </c>
      <c r="BU122" s="173"/>
      <c r="BV122" s="173"/>
      <c r="BW122" s="173"/>
      <c r="BX122" s="173"/>
      <c r="BY122" s="173"/>
      <c r="BZ122" s="173"/>
      <c r="CA122" s="173"/>
      <c r="CB122" s="173"/>
      <c r="CC122" s="173"/>
      <c r="CD122" s="173"/>
      <c r="CE122" s="173"/>
      <c r="CF122" s="173"/>
      <c r="CG122" s="173"/>
      <c r="CH122" s="173"/>
      <c r="CI122" s="173"/>
      <c r="CJ122" s="173"/>
      <c r="CK122" s="173"/>
      <c r="CL122" s="173"/>
    </row>
    <row r="123" spans="1:90" s="181" customFormat="1">
      <c r="A123" s="181">
        <v>5</v>
      </c>
      <c r="D123" s="181">
        <v>0.4</v>
      </c>
      <c r="BU123" s="173"/>
      <c r="BV123" s="173"/>
      <c r="BW123" s="173"/>
      <c r="BX123" s="173"/>
      <c r="BY123" s="173"/>
      <c r="BZ123" s="173"/>
      <c r="CA123" s="173"/>
      <c r="CB123" s="173"/>
      <c r="CC123" s="173"/>
      <c r="CD123" s="173"/>
      <c r="CE123" s="173"/>
      <c r="CF123" s="173"/>
      <c r="CG123" s="173"/>
      <c r="CH123" s="173"/>
      <c r="CI123" s="173"/>
      <c r="CJ123" s="173"/>
      <c r="CK123" s="173"/>
      <c r="CL123" s="173"/>
    </row>
    <row r="124" spans="1:90" s="181" customFormat="1">
      <c r="A124" s="181">
        <v>6</v>
      </c>
      <c r="D124" s="181">
        <v>0.5</v>
      </c>
      <c r="BU124" s="173"/>
      <c r="BV124" s="173"/>
      <c r="BW124" s="173"/>
      <c r="BX124" s="173"/>
      <c r="BY124" s="173"/>
      <c r="BZ124" s="173"/>
      <c r="CA124" s="173"/>
      <c r="CB124" s="173"/>
      <c r="CC124" s="173"/>
      <c r="CD124" s="173"/>
      <c r="CE124" s="173"/>
      <c r="CF124" s="173"/>
      <c r="CG124" s="173"/>
      <c r="CH124" s="173"/>
      <c r="CI124" s="173"/>
      <c r="CJ124" s="173"/>
      <c r="CK124" s="173"/>
      <c r="CL124" s="173"/>
    </row>
    <row r="125" spans="1:90" s="181" customFormat="1">
      <c r="A125" s="181">
        <v>7</v>
      </c>
      <c r="D125" s="181">
        <v>0.6</v>
      </c>
      <c r="BU125" s="173"/>
      <c r="BV125" s="173"/>
      <c r="BW125" s="173"/>
      <c r="BX125" s="173"/>
      <c r="BY125" s="173"/>
      <c r="BZ125" s="173"/>
      <c r="CA125" s="173"/>
      <c r="CB125" s="173"/>
      <c r="CC125" s="173"/>
      <c r="CD125" s="173"/>
      <c r="CE125" s="173"/>
      <c r="CF125" s="173"/>
      <c r="CG125" s="173"/>
      <c r="CH125" s="173"/>
      <c r="CI125" s="173"/>
      <c r="CJ125" s="173"/>
      <c r="CK125" s="173"/>
      <c r="CL125" s="173"/>
    </row>
    <row r="126" spans="1:90" s="181" customFormat="1">
      <c r="A126" s="181" t="s">
        <v>1100</v>
      </c>
      <c r="BU126" s="173"/>
      <c r="BV126" s="173"/>
      <c r="BW126" s="173"/>
      <c r="BX126" s="173"/>
      <c r="BY126" s="173"/>
      <c r="BZ126" s="173"/>
      <c r="CA126" s="173"/>
      <c r="CB126" s="173"/>
      <c r="CC126" s="173"/>
      <c r="CD126" s="173"/>
      <c r="CE126" s="173"/>
      <c r="CF126" s="173"/>
      <c r="CG126" s="173"/>
      <c r="CH126" s="173"/>
      <c r="CI126" s="173"/>
      <c r="CJ126" s="173"/>
      <c r="CK126" s="173"/>
      <c r="CL126" s="173"/>
    </row>
    <row r="127" spans="1:90" s="181" customFormat="1" ht="24" customHeight="1">
      <c r="A127" s="181" t="s">
        <v>11</v>
      </c>
      <c r="B127" s="181" t="s">
        <v>119</v>
      </c>
      <c r="C127" s="181" t="s">
        <v>121</v>
      </c>
      <c r="D127" s="181" t="s">
        <v>120</v>
      </c>
      <c r="E127" s="181" t="s">
        <v>202</v>
      </c>
      <c r="F127" s="181" t="s">
        <v>85</v>
      </c>
      <c r="G127" s="181" t="str">
        <f>A90</f>
        <v>Samsung 5kW mono</v>
      </c>
      <c r="H127" s="181" t="s">
        <v>693</v>
      </c>
      <c r="I127" s="181" t="s">
        <v>811</v>
      </c>
      <c r="J127" s="181" t="str">
        <f>A97</f>
        <v>Samsung 6kW Split</v>
      </c>
      <c r="K127" s="181" t="str">
        <f>A98</f>
        <v>Samsung 9kW Split</v>
      </c>
      <c r="L127" s="181" t="str">
        <f>A99</f>
        <v>Samsung 16kW Split</v>
      </c>
      <c r="M127" s="181" t="s">
        <v>1128</v>
      </c>
      <c r="N127" s="181" t="s">
        <v>1129</v>
      </c>
      <c r="O127" s="181" t="s">
        <v>1130</v>
      </c>
      <c r="P127" s="181" t="s">
        <v>1131</v>
      </c>
      <c r="Q127" s="181" t="s">
        <v>1132</v>
      </c>
      <c r="R127" s="181" t="s">
        <v>1133</v>
      </c>
      <c r="S127" s="181" t="s">
        <v>1134</v>
      </c>
      <c r="T127" s="181" t="s">
        <v>1135</v>
      </c>
      <c r="U127" s="181" t="s">
        <v>1136</v>
      </c>
      <c r="V127" s="181" t="s">
        <v>1137</v>
      </c>
      <c r="W127" s="181" t="s">
        <v>1138</v>
      </c>
      <c r="X127" s="181" t="s">
        <v>1139</v>
      </c>
      <c r="Y127" s="181" t="s">
        <v>1140</v>
      </c>
      <c r="Z127" s="181" t="s">
        <v>1141</v>
      </c>
      <c r="AA127" s="181" t="s">
        <v>1142</v>
      </c>
      <c r="BU127" s="173"/>
      <c r="BV127" s="173"/>
      <c r="BW127" s="173"/>
      <c r="BX127" s="173"/>
      <c r="BY127" s="173"/>
      <c r="BZ127" s="173"/>
      <c r="CA127" s="173"/>
      <c r="CB127" s="173"/>
      <c r="CC127" s="173"/>
      <c r="CD127" s="173"/>
      <c r="CE127" s="173"/>
      <c r="CF127" s="173"/>
      <c r="CG127" s="173"/>
      <c r="CH127" s="173"/>
      <c r="CI127" s="173"/>
      <c r="CJ127" s="173"/>
      <c r="CK127" s="173"/>
      <c r="CL127" s="173"/>
    </row>
    <row r="128" spans="1:90" s="181" customFormat="1">
      <c r="A128" s="181">
        <v>-10</v>
      </c>
      <c r="B128" s="181">
        <f>2*E128</f>
        <v>24.12</v>
      </c>
      <c r="C128" s="181">
        <f>F128+E128</f>
        <v>18.440000000000001</v>
      </c>
      <c r="D128" s="181">
        <f>2*F128</f>
        <v>12.76</v>
      </c>
      <c r="E128" s="181">
        <v>12.06</v>
      </c>
      <c r="F128" s="181">
        <v>6.38</v>
      </c>
      <c r="G128" s="181">
        <v>4.0199999999999996</v>
      </c>
      <c r="H128" s="181">
        <v>8.39</v>
      </c>
      <c r="I128" s="181">
        <v>3.68</v>
      </c>
      <c r="J128" s="181">
        <v>4.59</v>
      </c>
      <c r="K128" s="181">
        <v>6.67</v>
      </c>
      <c r="L128" s="181">
        <v>11.48</v>
      </c>
      <c r="M128" s="181">
        <v>4.0199999999999996</v>
      </c>
      <c r="N128" s="181">
        <v>4.0199999999999996</v>
      </c>
      <c r="O128" s="181">
        <v>5.46</v>
      </c>
      <c r="P128" s="181">
        <v>5.46</v>
      </c>
      <c r="Q128" s="181">
        <v>5.46</v>
      </c>
      <c r="R128" s="181">
        <v>7.79</v>
      </c>
      <c r="S128" s="181">
        <v>7.79</v>
      </c>
      <c r="T128" s="181">
        <v>7.79</v>
      </c>
      <c r="U128" s="181">
        <v>12.39</v>
      </c>
      <c r="V128" s="181">
        <v>10.77</v>
      </c>
      <c r="W128" s="181">
        <v>10.77</v>
      </c>
      <c r="X128" s="181">
        <v>10.77</v>
      </c>
      <c r="Y128" s="181">
        <v>16.010000000000002</v>
      </c>
      <c r="Z128" s="181">
        <v>13.65</v>
      </c>
      <c r="AA128" s="181">
        <v>16.37</v>
      </c>
      <c r="BU128" s="173"/>
      <c r="BV128" s="173"/>
      <c r="BW128" s="173"/>
      <c r="BX128" s="173"/>
      <c r="BY128" s="173"/>
      <c r="BZ128" s="173"/>
      <c r="CA128" s="173"/>
      <c r="CB128" s="173"/>
      <c r="CC128" s="173"/>
      <c r="CD128" s="173"/>
      <c r="CE128" s="173"/>
      <c r="CF128" s="173"/>
      <c r="CG128" s="173"/>
      <c r="CH128" s="173"/>
      <c r="CI128" s="173"/>
      <c r="CJ128" s="173"/>
      <c r="CK128" s="173"/>
      <c r="CL128" s="173"/>
    </row>
    <row r="129" spans="1:90" s="181" customFormat="1">
      <c r="A129" s="181">
        <v>-7</v>
      </c>
      <c r="B129" s="181">
        <f>2*E129</f>
        <v>25.3</v>
      </c>
      <c r="C129" s="181">
        <f>F129+E129</f>
        <v>19.18</v>
      </c>
      <c r="D129" s="181">
        <f>2*F129</f>
        <v>13.06</v>
      </c>
      <c r="E129" s="181">
        <v>12.65</v>
      </c>
      <c r="F129" s="181">
        <v>6.53</v>
      </c>
      <c r="G129" s="181">
        <v>4.5999999999999996</v>
      </c>
      <c r="H129" s="181">
        <v>8.93</v>
      </c>
      <c r="I129" s="181">
        <v>3.95</v>
      </c>
      <c r="J129" s="181">
        <v>4.9400000000000004</v>
      </c>
      <c r="K129" s="181">
        <v>7.2</v>
      </c>
      <c r="L129" s="181">
        <v>12.42</v>
      </c>
      <c r="M129" s="181">
        <v>4.41</v>
      </c>
      <c r="N129" s="181">
        <v>4.41</v>
      </c>
      <c r="O129" s="181">
        <v>6.05</v>
      </c>
      <c r="P129" s="181">
        <v>6.05</v>
      </c>
      <c r="Q129" s="181">
        <v>6.05</v>
      </c>
      <c r="R129" s="181">
        <v>9.8699999999999992</v>
      </c>
      <c r="S129" s="181">
        <v>9.8699999999999992</v>
      </c>
      <c r="T129" s="181">
        <v>9.8699999999999992</v>
      </c>
      <c r="U129" s="181">
        <v>12.5</v>
      </c>
      <c r="V129" s="181">
        <v>11.83</v>
      </c>
      <c r="W129" s="181">
        <v>11.83</v>
      </c>
      <c r="X129" s="181">
        <v>11.83</v>
      </c>
      <c r="Y129" s="181">
        <v>16.149999999999999</v>
      </c>
      <c r="Z129" s="181">
        <v>15.7</v>
      </c>
      <c r="AA129" s="181">
        <v>18.36</v>
      </c>
      <c r="BU129" s="173"/>
      <c r="BV129" s="173"/>
      <c r="BW129" s="173"/>
      <c r="BX129" s="173"/>
      <c r="BY129" s="173"/>
      <c r="BZ129" s="173"/>
      <c r="CA129" s="173"/>
      <c r="CB129" s="173"/>
      <c r="CC129" s="173"/>
      <c r="CD129" s="173"/>
      <c r="CE129" s="173"/>
      <c r="CF129" s="173"/>
      <c r="CG129" s="173"/>
      <c r="CH129" s="173"/>
      <c r="CI129" s="173"/>
      <c r="CJ129" s="173"/>
      <c r="CK129" s="173"/>
      <c r="CL129" s="173"/>
    </row>
    <row r="130" spans="1:90" s="181" customFormat="1">
      <c r="A130" s="181">
        <v>-2</v>
      </c>
      <c r="B130" s="181">
        <f>2*E130</f>
        <v>22.84</v>
      </c>
      <c r="C130" s="181">
        <f>F130+E130</f>
        <v>17.899999999999999</v>
      </c>
      <c r="D130" s="181">
        <f>2*F130</f>
        <v>12.96</v>
      </c>
      <c r="E130" s="181">
        <v>11.42</v>
      </c>
      <c r="F130" s="181">
        <v>6.48</v>
      </c>
      <c r="G130" s="181">
        <v>4.04</v>
      </c>
      <c r="H130" s="181">
        <v>9.2100000000000009</v>
      </c>
      <c r="I130" s="181">
        <v>3.74</v>
      </c>
      <c r="J130" s="181">
        <v>4.68</v>
      </c>
      <c r="K130" s="181">
        <v>7.11</v>
      </c>
      <c r="L130" s="181">
        <v>12.11</v>
      </c>
      <c r="M130" s="181">
        <v>4.45</v>
      </c>
      <c r="N130" s="181">
        <v>4.45</v>
      </c>
      <c r="O130" s="181">
        <v>6.82</v>
      </c>
      <c r="P130" s="181">
        <v>6.82</v>
      </c>
      <c r="Q130" s="181">
        <v>6.82</v>
      </c>
      <c r="R130" s="181">
        <v>10</v>
      </c>
      <c r="S130" s="181">
        <v>10</v>
      </c>
      <c r="T130" s="181">
        <v>10</v>
      </c>
      <c r="U130" s="181">
        <v>12.98</v>
      </c>
      <c r="V130" s="181">
        <v>12.98</v>
      </c>
      <c r="W130" s="181">
        <v>12.98</v>
      </c>
      <c r="X130" s="181">
        <v>12.98</v>
      </c>
      <c r="Y130" s="181">
        <v>16.37</v>
      </c>
      <c r="Z130" s="181">
        <v>16.75</v>
      </c>
      <c r="AA130" s="181">
        <v>18.97</v>
      </c>
      <c r="BU130" s="173"/>
      <c r="BV130" s="173"/>
      <c r="BW130" s="173"/>
      <c r="BX130" s="173"/>
      <c r="BY130" s="173"/>
      <c r="BZ130" s="173"/>
      <c r="CA130" s="173"/>
      <c r="CB130" s="173"/>
      <c r="CC130" s="173"/>
      <c r="CD130" s="173"/>
      <c r="CE130" s="173"/>
      <c r="CF130" s="173"/>
      <c r="CG130" s="173"/>
      <c r="CH130" s="173"/>
      <c r="CI130" s="173"/>
      <c r="CJ130" s="173"/>
      <c r="CK130" s="173"/>
      <c r="CL130" s="173"/>
    </row>
    <row r="131" spans="1:90" s="181" customFormat="1">
      <c r="A131" s="181">
        <v>0</v>
      </c>
      <c r="B131" s="181">
        <f t="shared" ref="B131:H131" si="0">((B$130-B$132)/4)+B132</f>
        <v>20.74</v>
      </c>
      <c r="C131" s="181">
        <f t="shared" si="0"/>
        <v>16.625</v>
      </c>
      <c r="D131" s="181">
        <f t="shared" si="0"/>
        <v>12.51</v>
      </c>
      <c r="E131" s="181">
        <f t="shared" si="0"/>
        <v>10.37</v>
      </c>
      <c r="F131" s="181">
        <f>((F$130-F$132)/4)+F132</f>
        <v>6.2549999999999999</v>
      </c>
      <c r="G131" s="181">
        <f>((G$130-G$132)/4)+G132</f>
        <v>3.86</v>
      </c>
      <c r="H131" s="181">
        <f t="shared" si="0"/>
        <v>9.4275000000000002</v>
      </c>
      <c r="I131" s="181">
        <f>((I$130-I$132)/4)+I132</f>
        <v>4.01</v>
      </c>
      <c r="J131" s="181">
        <f>((J$130-J$132)/4)+J132</f>
        <v>4.9949999999999992</v>
      </c>
      <c r="K131" s="181">
        <f>((K$130-K$132)/4)+K132</f>
        <v>7.0350000000000001</v>
      </c>
      <c r="L131" s="181">
        <f>((L$130-L$132)/4)+L132</f>
        <v>11.877500000000001</v>
      </c>
      <c r="M131" s="181">
        <v>4.5750000000000002</v>
      </c>
      <c r="N131" s="181">
        <v>4.5750000000000002</v>
      </c>
      <c r="O131" s="181">
        <v>7.1300000000000008</v>
      </c>
      <c r="P131" s="181">
        <v>7.1300000000000008</v>
      </c>
      <c r="Q131" s="181">
        <v>7.1300000000000008</v>
      </c>
      <c r="R131" s="181">
        <v>10.45</v>
      </c>
      <c r="S131" s="181">
        <v>10.45</v>
      </c>
      <c r="T131" s="181">
        <v>10.45</v>
      </c>
      <c r="U131" s="181">
        <v>13.32</v>
      </c>
      <c r="V131" s="181">
        <v>13.440000000000001</v>
      </c>
      <c r="W131" s="181">
        <v>13.440000000000001</v>
      </c>
      <c r="X131" s="181">
        <v>13.440000000000001</v>
      </c>
      <c r="Y131" s="181">
        <v>16.455000000000002</v>
      </c>
      <c r="Z131" s="181">
        <v>17.164999999999999</v>
      </c>
      <c r="AA131" s="181">
        <v>18.715000000000003</v>
      </c>
      <c r="BU131" s="173"/>
      <c r="BV131" s="173"/>
      <c r="BW131" s="173"/>
      <c r="BX131" s="173"/>
      <c r="BY131" s="173"/>
      <c r="BZ131" s="173"/>
      <c r="CA131" s="173"/>
      <c r="CB131" s="173"/>
      <c r="CC131" s="173"/>
      <c r="CD131" s="173"/>
      <c r="CE131" s="173"/>
      <c r="CF131" s="173"/>
      <c r="CG131" s="173"/>
      <c r="CH131" s="173"/>
      <c r="CI131" s="173"/>
      <c r="CJ131" s="173"/>
      <c r="CK131" s="173"/>
      <c r="CL131" s="173"/>
    </row>
    <row r="132" spans="1:90" s="181" customFormat="1">
      <c r="A132" s="181">
        <v>2</v>
      </c>
      <c r="B132" s="181">
        <f>2*E132</f>
        <v>20.04</v>
      </c>
      <c r="C132" s="181">
        <f>F132+E132</f>
        <v>16.2</v>
      </c>
      <c r="D132" s="181">
        <f>2*F132</f>
        <v>12.36</v>
      </c>
      <c r="E132" s="181">
        <v>10.02</v>
      </c>
      <c r="F132" s="181">
        <v>6.18</v>
      </c>
      <c r="G132" s="181">
        <v>3.8</v>
      </c>
      <c r="H132" s="181">
        <v>9.5</v>
      </c>
      <c r="I132" s="181">
        <v>4.0999999999999996</v>
      </c>
      <c r="J132" s="181">
        <v>5.0999999999999996</v>
      </c>
      <c r="K132" s="181">
        <v>7.01</v>
      </c>
      <c r="L132" s="181">
        <v>11.8</v>
      </c>
      <c r="M132" s="181">
        <v>4.7</v>
      </c>
      <c r="N132" s="181">
        <v>4.7</v>
      </c>
      <c r="O132" s="181">
        <v>7.44</v>
      </c>
      <c r="P132" s="181">
        <v>7.44</v>
      </c>
      <c r="Q132" s="181">
        <v>7.44</v>
      </c>
      <c r="R132" s="181">
        <v>10.9</v>
      </c>
      <c r="S132" s="181">
        <v>10.9</v>
      </c>
      <c r="T132" s="181">
        <v>10.9</v>
      </c>
      <c r="U132" s="181">
        <v>13.66</v>
      </c>
      <c r="V132" s="181">
        <v>13.9</v>
      </c>
      <c r="W132" s="181">
        <v>13.9</v>
      </c>
      <c r="X132" s="181">
        <v>13.9</v>
      </c>
      <c r="Y132" s="181">
        <v>16.54</v>
      </c>
      <c r="Z132" s="181">
        <v>17.579999999999998</v>
      </c>
      <c r="AA132" s="181">
        <v>18.46</v>
      </c>
      <c r="BU132" s="173"/>
      <c r="BV132" s="173"/>
      <c r="BW132" s="173"/>
      <c r="BX132" s="173"/>
      <c r="BY132" s="173"/>
      <c r="BZ132" s="173"/>
      <c r="CA132" s="173"/>
      <c r="CB132" s="173"/>
      <c r="CC132" s="173"/>
      <c r="CD132" s="173"/>
      <c r="CE132" s="173"/>
      <c r="CF132" s="173"/>
      <c r="CG132" s="173"/>
      <c r="CH132" s="173"/>
      <c r="CI132" s="173"/>
      <c r="CJ132" s="173"/>
      <c r="CK132" s="173"/>
      <c r="CL132" s="173"/>
    </row>
    <row r="133" spans="1:90" s="181" customFormat="1">
      <c r="A133" s="181">
        <v>7</v>
      </c>
      <c r="B133" s="181">
        <f>2*E133</f>
        <v>29.2</v>
      </c>
      <c r="C133" s="181">
        <f>F133+E133</f>
        <v>22.65</v>
      </c>
      <c r="D133" s="181">
        <f>2*F133</f>
        <v>16.100000000000001</v>
      </c>
      <c r="E133" s="181">
        <v>14.6</v>
      </c>
      <c r="F133" s="181">
        <v>8.0500000000000007</v>
      </c>
      <c r="G133" s="181">
        <v>4.5999999999999996</v>
      </c>
      <c r="H133" s="181">
        <v>10.95</v>
      </c>
      <c r="I133" s="181">
        <v>4.3</v>
      </c>
      <c r="J133" s="181">
        <v>5.35</v>
      </c>
      <c r="K133" s="181">
        <v>8.4</v>
      </c>
      <c r="L133" s="181">
        <v>14.95</v>
      </c>
      <c r="M133" s="181">
        <v>6.1</v>
      </c>
      <c r="N133" s="181">
        <v>6.1</v>
      </c>
      <c r="O133" s="181">
        <v>9.86</v>
      </c>
      <c r="P133" s="181">
        <v>9.86</v>
      </c>
      <c r="Q133" s="181">
        <v>9.86</v>
      </c>
      <c r="R133" s="181">
        <v>13.88</v>
      </c>
      <c r="S133" s="181">
        <v>13.88</v>
      </c>
      <c r="T133" s="181">
        <v>13.88</v>
      </c>
      <c r="U133" s="181">
        <v>14.5</v>
      </c>
      <c r="V133" s="181">
        <v>17.100000000000001</v>
      </c>
      <c r="W133" s="181">
        <v>17.100000000000001</v>
      </c>
      <c r="X133" s="181">
        <v>17.100000000000001</v>
      </c>
      <c r="Y133" s="181">
        <v>17.97</v>
      </c>
      <c r="Z133" s="181">
        <v>24.01</v>
      </c>
      <c r="AA133" s="181">
        <v>28.05</v>
      </c>
      <c r="BU133" s="173"/>
      <c r="BV133" s="173"/>
      <c r="BW133" s="173"/>
      <c r="BX133" s="173"/>
      <c r="BY133" s="173"/>
      <c r="BZ133" s="173"/>
      <c r="CA133" s="173"/>
      <c r="CB133" s="173"/>
      <c r="CC133" s="173"/>
      <c r="CD133" s="173"/>
      <c r="CE133" s="173"/>
      <c r="CF133" s="173"/>
      <c r="CG133" s="173"/>
      <c r="CH133" s="173"/>
      <c r="CI133" s="173"/>
      <c r="CJ133" s="173"/>
      <c r="CK133" s="173"/>
      <c r="CL133" s="173"/>
    </row>
    <row r="134" spans="1:90" s="181" customFormat="1">
      <c r="A134" s="181">
        <v>15</v>
      </c>
      <c r="B134" s="181">
        <f>2*E134</f>
        <v>34.72</v>
      </c>
      <c r="C134" s="181">
        <f>F134+E134</f>
        <v>27.490000000000002</v>
      </c>
      <c r="D134" s="181">
        <f>2*F134</f>
        <v>20.260000000000002</v>
      </c>
      <c r="E134" s="181">
        <v>17.36</v>
      </c>
      <c r="F134" s="181">
        <v>10.130000000000001</v>
      </c>
      <c r="G134" s="181">
        <v>4.93</v>
      </c>
      <c r="H134" s="181">
        <v>11.91</v>
      </c>
      <c r="I134" s="181">
        <v>4.95</v>
      </c>
      <c r="J134" s="181">
        <v>6.16</v>
      </c>
      <c r="K134" s="181">
        <v>10.76</v>
      </c>
      <c r="L134" s="181">
        <v>17.420000000000002</v>
      </c>
      <c r="M134" s="181">
        <v>7.65</v>
      </c>
      <c r="N134" s="181">
        <v>7.65</v>
      </c>
      <c r="O134" s="181">
        <v>11.2</v>
      </c>
      <c r="P134" s="181">
        <v>11.2</v>
      </c>
      <c r="Q134" s="181">
        <v>11.2</v>
      </c>
      <c r="R134" s="181">
        <v>15.39</v>
      </c>
      <c r="S134" s="181">
        <v>15.39</v>
      </c>
      <c r="T134" s="181">
        <v>15.39</v>
      </c>
      <c r="U134" s="181">
        <v>15.62</v>
      </c>
      <c r="V134" s="181">
        <v>17.5</v>
      </c>
      <c r="W134" s="181">
        <v>17.5</v>
      </c>
      <c r="X134" s="181">
        <v>17.5</v>
      </c>
      <c r="Y134" s="181">
        <v>19.43</v>
      </c>
      <c r="Z134" s="181">
        <v>25.5</v>
      </c>
      <c r="AA134" s="181">
        <v>29</v>
      </c>
      <c r="BU134" s="173"/>
      <c r="BV134" s="173"/>
      <c r="BW134" s="173"/>
      <c r="BX134" s="173"/>
      <c r="BY134" s="173"/>
      <c r="BZ134" s="173"/>
      <c r="CA134" s="173"/>
      <c r="CB134" s="173"/>
      <c r="CC134" s="173"/>
      <c r="CD134" s="173"/>
      <c r="CE134" s="173"/>
      <c r="CF134" s="173"/>
      <c r="CG134" s="173"/>
      <c r="CH134" s="173"/>
      <c r="CI134" s="173"/>
      <c r="CJ134" s="173"/>
      <c r="CK134" s="173"/>
      <c r="CL134" s="173"/>
    </row>
    <row r="135" spans="1:90" s="181" customFormat="1">
      <c r="A135" s="181" t="s">
        <v>229</v>
      </c>
      <c r="B135" s="181">
        <f>(B130/$E$14)</f>
        <v>3.5339626657099528</v>
      </c>
      <c r="C135" s="181">
        <f t="shared" ref="C135:D135" si="1">(C130/$E$14)</f>
        <v>2.7696117213751381</v>
      </c>
      <c r="D135" s="181">
        <f t="shared" si="1"/>
        <v>2.0052607770403239</v>
      </c>
      <c r="E135" s="181">
        <f t="shared" ref="E135:H135" si="2">(E130/$E$14)</f>
        <v>1.7669813328549764</v>
      </c>
      <c r="F135" s="181">
        <f>(G130/$E$14)</f>
        <v>0.62509672370701441</v>
      </c>
      <c r="G135" s="181">
        <f>(F130/$E$14)</f>
        <v>1.002630388520162</v>
      </c>
      <c r="H135" s="181">
        <f t="shared" si="2"/>
        <v>1.4250348577578227</v>
      </c>
      <c r="I135" s="181">
        <f>(I130/$E$14)</f>
        <v>0.57867865016441444</v>
      </c>
      <c r="J135" s="181">
        <f>(J130/$E$14)</f>
        <v>0.72412194726456125</v>
      </c>
      <c r="K135" s="181">
        <f>(K130/$E$14)</f>
        <v>1.1001083429596219</v>
      </c>
      <c r="L135" s="181">
        <f>(L130/$E$14)</f>
        <v>1.8737429020029566</v>
      </c>
      <c r="M135" s="181">
        <f t="shared" ref="M135:AA135" si="3">(M130/$E$14)</f>
        <v>0.68853475754856797</v>
      </c>
      <c r="N135" s="181">
        <f t="shared" si="3"/>
        <v>0.68853475754856797</v>
      </c>
      <c r="O135" s="181">
        <f t="shared" si="3"/>
        <v>1.0552375385351085</v>
      </c>
      <c r="P135" s="181">
        <f t="shared" si="3"/>
        <v>1.0552375385351085</v>
      </c>
      <c r="Q135" s="181">
        <f t="shared" si="3"/>
        <v>1.0552375385351085</v>
      </c>
      <c r="R135" s="181">
        <f t="shared" si="3"/>
        <v>1.5472691180866693</v>
      </c>
      <c r="S135" s="181">
        <f t="shared" si="3"/>
        <v>1.5472691180866693</v>
      </c>
      <c r="T135" s="181">
        <f t="shared" si="3"/>
        <v>1.5472691180866693</v>
      </c>
      <c r="U135" s="181">
        <f t="shared" si="3"/>
        <v>2.0083553152764968</v>
      </c>
      <c r="V135" s="181">
        <f t="shared" si="3"/>
        <v>2.0083553152764968</v>
      </c>
      <c r="W135" s="181">
        <f t="shared" si="3"/>
        <v>2.0083553152764968</v>
      </c>
      <c r="X135" s="181">
        <f t="shared" si="3"/>
        <v>2.0083553152764968</v>
      </c>
      <c r="Y135" s="181">
        <f t="shared" si="3"/>
        <v>2.5328795463078779</v>
      </c>
      <c r="Z135" s="181">
        <f t="shared" si="3"/>
        <v>2.5916757727951714</v>
      </c>
      <c r="AA135" s="181">
        <f t="shared" si="3"/>
        <v>2.9351695170104115</v>
      </c>
      <c r="BU135" s="173"/>
      <c r="BV135" s="173"/>
      <c r="BW135" s="173"/>
      <c r="BX135" s="173"/>
      <c r="BY135" s="173"/>
      <c r="BZ135" s="173"/>
      <c r="CA135" s="173"/>
      <c r="CB135" s="173"/>
      <c r="CC135" s="173"/>
      <c r="CD135" s="173"/>
      <c r="CE135" s="173"/>
      <c r="CF135" s="173"/>
      <c r="CG135" s="173"/>
      <c r="CH135" s="173"/>
      <c r="CI135" s="173"/>
      <c r="CJ135" s="173"/>
      <c r="CK135" s="173"/>
      <c r="CL135" s="173"/>
    </row>
    <row r="136" spans="1:90" s="181" customFormat="1">
      <c r="BU136" s="173"/>
      <c r="BV136" s="173"/>
      <c r="BW136" s="173"/>
      <c r="BX136" s="173"/>
      <c r="BY136" s="173"/>
      <c r="BZ136" s="173"/>
      <c r="CA136" s="173"/>
      <c r="CB136" s="173"/>
      <c r="CC136" s="173"/>
      <c r="CD136" s="173"/>
      <c r="CE136" s="173"/>
      <c r="CF136" s="173"/>
      <c r="CG136" s="173"/>
      <c r="CH136" s="173"/>
      <c r="CI136" s="173"/>
      <c r="CJ136" s="173"/>
      <c r="CK136" s="173"/>
      <c r="CL136" s="173"/>
    </row>
    <row r="137" spans="1:90" s="181" customFormat="1">
      <c r="BU137" s="173"/>
      <c r="BV137" s="173"/>
      <c r="BW137" s="173"/>
      <c r="BX137" s="173"/>
      <c r="BY137" s="173"/>
      <c r="BZ137" s="173"/>
      <c r="CA137" s="173"/>
      <c r="CB137" s="173"/>
      <c r="CC137" s="173"/>
      <c r="CD137" s="173"/>
      <c r="CE137" s="173"/>
      <c r="CF137" s="173"/>
      <c r="CG137" s="173"/>
      <c r="CH137" s="173"/>
      <c r="CI137" s="173"/>
      <c r="CJ137" s="173"/>
      <c r="CK137" s="173"/>
      <c r="CL137" s="173"/>
    </row>
    <row r="138" spans="1:90" s="181" customFormat="1">
      <c r="BU138" s="173"/>
      <c r="BV138" s="173"/>
      <c r="BW138" s="173"/>
      <c r="BX138" s="173"/>
      <c r="BY138" s="173"/>
      <c r="BZ138" s="173"/>
      <c r="CA138" s="173"/>
      <c r="CB138" s="173"/>
      <c r="CC138" s="173"/>
      <c r="CD138" s="173"/>
      <c r="CE138" s="173"/>
      <c r="CF138" s="173"/>
      <c r="CG138" s="173"/>
      <c r="CH138" s="173"/>
      <c r="CI138" s="173"/>
      <c r="CJ138" s="173"/>
      <c r="CK138" s="173"/>
      <c r="CL138" s="173"/>
    </row>
    <row r="139" spans="1:90" s="181" customFormat="1">
      <c r="A139" s="181">
        <v>15</v>
      </c>
      <c r="B139" s="181">
        <v>0</v>
      </c>
      <c r="BU139" s="173"/>
      <c r="BV139" s="173"/>
      <c r="BW139" s="173"/>
      <c r="BX139" s="173"/>
      <c r="BY139" s="173"/>
      <c r="BZ139" s="173"/>
      <c r="CA139" s="173"/>
      <c r="CB139" s="173"/>
      <c r="CC139" s="173"/>
      <c r="CD139" s="173"/>
      <c r="CE139" s="173"/>
      <c r="CF139" s="173"/>
      <c r="CG139" s="173"/>
      <c r="CH139" s="173"/>
      <c r="CI139" s="173"/>
      <c r="CJ139" s="173"/>
      <c r="CK139" s="173"/>
      <c r="CL139" s="173"/>
    </row>
    <row r="140" spans="1:90" s="181" customFormat="1">
      <c r="A140" s="181">
        <f>'Data Entry Sheet'!D32</f>
        <v>-4</v>
      </c>
      <c r="B140" s="181">
        <f>$E$14</f>
        <v>6.4629997995215307</v>
      </c>
      <c r="BU140" s="173"/>
      <c r="BV140" s="173"/>
      <c r="BW140" s="173"/>
      <c r="BX140" s="173"/>
      <c r="BY140" s="173"/>
      <c r="BZ140" s="173"/>
      <c r="CA140" s="173"/>
      <c r="CB140" s="173"/>
      <c r="CC140" s="173"/>
      <c r="CD140" s="173"/>
      <c r="CE140" s="173"/>
      <c r="CF140" s="173"/>
      <c r="CG140" s="173"/>
      <c r="CH140" s="173"/>
      <c r="CI140" s="173"/>
      <c r="CJ140" s="173"/>
      <c r="CK140" s="173"/>
      <c r="CL140" s="173"/>
    </row>
    <row r="141" spans="1:90" s="181" customFormat="1">
      <c r="BU141" s="173"/>
      <c r="BV141" s="173"/>
      <c r="BW141" s="173"/>
      <c r="BX141" s="173"/>
      <c r="BY141" s="173"/>
      <c r="BZ141" s="173"/>
      <c r="CA141" s="173"/>
      <c r="CB141" s="173"/>
      <c r="CC141" s="173"/>
      <c r="CD141" s="173"/>
      <c r="CE141" s="173"/>
      <c r="CF141" s="173"/>
      <c r="CG141" s="173"/>
      <c r="CH141" s="173"/>
      <c r="CI141" s="173"/>
      <c r="CJ141" s="173"/>
      <c r="CK141" s="173"/>
      <c r="CL141" s="173"/>
    </row>
    <row r="142" spans="1:90" s="181" customFormat="1">
      <c r="BU142" s="173"/>
      <c r="BV142" s="173"/>
      <c r="BW142" s="173"/>
      <c r="BX142" s="173"/>
      <c r="BY142" s="173"/>
      <c r="BZ142" s="173"/>
      <c r="CA142" s="173"/>
      <c r="CB142" s="173"/>
      <c r="CC142" s="173"/>
      <c r="CD142" s="173"/>
      <c r="CE142" s="173"/>
      <c r="CF142" s="173"/>
      <c r="CG142" s="173"/>
      <c r="CH142" s="173"/>
      <c r="CI142" s="173"/>
      <c r="CJ142" s="173"/>
      <c r="CK142" s="173"/>
      <c r="CL142" s="173"/>
    </row>
    <row r="143" spans="1:90" s="181" customFormat="1">
      <c r="BU143" s="173"/>
      <c r="BV143" s="173"/>
      <c r="BW143" s="173"/>
      <c r="BX143" s="173"/>
      <c r="BY143" s="173"/>
      <c r="BZ143" s="173"/>
      <c r="CA143" s="173"/>
      <c r="CB143" s="173"/>
      <c r="CC143" s="173"/>
      <c r="CD143" s="173"/>
      <c r="CE143" s="173"/>
      <c r="CF143" s="173"/>
      <c r="CG143" s="173"/>
      <c r="CH143" s="173"/>
      <c r="CI143" s="173"/>
      <c r="CJ143" s="173"/>
      <c r="CK143" s="173"/>
      <c r="CL143" s="173"/>
    </row>
    <row r="144" spans="1:90" s="181" customFormat="1">
      <c r="BU144" s="173"/>
      <c r="BV144" s="173"/>
      <c r="BW144" s="173"/>
      <c r="BX144" s="173"/>
      <c r="BY144" s="173"/>
      <c r="BZ144" s="173"/>
      <c r="CA144" s="173"/>
      <c r="CB144" s="173"/>
      <c r="CC144" s="173"/>
      <c r="CD144" s="173"/>
      <c r="CE144" s="173"/>
      <c r="CF144" s="173"/>
      <c r="CG144" s="173"/>
      <c r="CH144" s="173"/>
      <c r="CI144" s="173"/>
      <c r="CJ144" s="173"/>
      <c r="CK144" s="173"/>
      <c r="CL144" s="173"/>
    </row>
    <row r="145" spans="1:90" s="181" customFormat="1">
      <c r="BU145" s="173"/>
      <c r="BV145" s="173"/>
      <c r="BW145" s="173"/>
      <c r="BX145" s="173"/>
      <c r="BY145" s="173"/>
      <c r="BZ145" s="173"/>
      <c r="CA145" s="173"/>
      <c r="CB145" s="173"/>
      <c r="CC145" s="173"/>
      <c r="CD145" s="173"/>
      <c r="CE145" s="173"/>
      <c r="CF145" s="173"/>
      <c r="CG145" s="173"/>
      <c r="CH145" s="173"/>
      <c r="CI145" s="173"/>
      <c r="CJ145" s="173"/>
      <c r="CK145" s="173"/>
      <c r="CL145" s="173"/>
    </row>
    <row r="146" spans="1:90" s="181" customFormat="1">
      <c r="BU146" s="173"/>
      <c r="BV146" s="173"/>
      <c r="BW146" s="173"/>
      <c r="BX146" s="173"/>
      <c r="BY146" s="173"/>
      <c r="BZ146" s="173"/>
      <c r="CA146" s="173"/>
      <c r="CB146" s="173"/>
      <c r="CC146" s="173"/>
      <c r="CD146" s="173"/>
      <c r="CE146" s="173"/>
      <c r="CF146" s="173"/>
      <c r="CG146" s="173"/>
      <c r="CH146" s="173"/>
      <c r="CI146" s="173"/>
      <c r="CJ146" s="173"/>
      <c r="CK146" s="173"/>
      <c r="CL146" s="173"/>
    </row>
    <row r="147" spans="1:90" s="181" customFormat="1">
      <c r="BU147" s="173"/>
      <c r="BV147" s="173"/>
      <c r="BW147" s="173"/>
      <c r="BX147" s="173"/>
      <c r="BY147" s="173"/>
      <c r="BZ147" s="173"/>
      <c r="CA147" s="173"/>
      <c r="CB147" s="173"/>
      <c r="CC147" s="173"/>
      <c r="CD147" s="173"/>
      <c r="CE147" s="173"/>
      <c r="CF147" s="173"/>
      <c r="CG147" s="173"/>
      <c r="CH147" s="173"/>
      <c r="CI147" s="173"/>
      <c r="CJ147" s="173"/>
      <c r="CK147" s="173"/>
      <c r="CL147" s="173"/>
    </row>
    <row r="148" spans="1:90" s="181" customFormat="1">
      <c r="BU148" s="173"/>
      <c r="BV148" s="173"/>
      <c r="BW148" s="173"/>
      <c r="BX148" s="173"/>
      <c r="BY148" s="173"/>
      <c r="BZ148" s="173"/>
      <c r="CA148" s="173"/>
      <c r="CB148" s="173"/>
      <c r="CC148" s="173"/>
      <c r="CD148" s="173"/>
      <c r="CE148" s="173"/>
      <c r="CF148" s="173"/>
      <c r="CG148" s="173"/>
      <c r="CH148" s="173"/>
      <c r="CI148" s="173"/>
      <c r="CJ148" s="173"/>
      <c r="CK148" s="173"/>
      <c r="CL148" s="173"/>
    </row>
    <row r="149" spans="1:90" s="181" customFormat="1">
      <c r="BU149" s="173"/>
      <c r="BV149" s="173"/>
      <c r="BW149" s="173"/>
      <c r="BX149" s="173"/>
      <c r="BY149" s="173"/>
      <c r="BZ149" s="173"/>
      <c r="CA149" s="173"/>
      <c r="CB149" s="173"/>
      <c r="CC149" s="173"/>
      <c r="CD149" s="173"/>
      <c r="CE149" s="173"/>
      <c r="CF149" s="173"/>
      <c r="CG149" s="173"/>
      <c r="CH149" s="173"/>
      <c r="CI149" s="173"/>
      <c r="CJ149" s="173"/>
      <c r="CK149" s="173"/>
      <c r="CL149" s="173"/>
    </row>
    <row r="150" spans="1:90" s="181" customFormat="1">
      <c r="A150" s="181" t="s">
        <v>1099</v>
      </c>
      <c r="BU150" s="173"/>
      <c r="BV150" s="173"/>
      <c r="BW150" s="173"/>
      <c r="BX150" s="173"/>
      <c r="BY150" s="173"/>
      <c r="BZ150" s="173"/>
      <c r="CA150" s="173"/>
      <c r="CB150" s="173"/>
      <c r="CC150" s="173"/>
      <c r="CD150" s="173"/>
      <c r="CE150" s="173"/>
      <c r="CF150" s="173"/>
      <c r="CG150" s="173"/>
      <c r="CH150" s="173"/>
      <c r="CI150" s="173"/>
      <c r="CJ150" s="173"/>
      <c r="CK150" s="173"/>
      <c r="CL150" s="173"/>
    </row>
    <row r="151" spans="1:90" s="181" customFormat="1">
      <c r="A151" s="181" t="s">
        <v>11</v>
      </c>
      <c r="B151" s="181" t="s">
        <v>119</v>
      </c>
      <c r="C151" s="181" t="s">
        <v>121</v>
      </c>
      <c r="D151" s="181" t="s">
        <v>120</v>
      </c>
      <c r="E151" s="181" t="s">
        <v>202</v>
      </c>
      <c r="F151" s="181" t="s">
        <v>85</v>
      </c>
      <c r="G151" s="181" t="s">
        <v>812</v>
      </c>
      <c r="H151" s="181" t="s">
        <v>693</v>
      </c>
      <c r="I151" s="181" t="s">
        <v>811</v>
      </c>
      <c r="J151" s="181" t="s">
        <v>681</v>
      </c>
      <c r="K151" s="181" t="s">
        <v>813</v>
      </c>
      <c r="L151" s="181" t="s">
        <v>683</v>
      </c>
      <c r="M151" s="181" t="s">
        <v>1128</v>
      </c>
      <c r="N151" s="181" t="s">
        <v>1129</v>
      </c>
      <c r="O151" s="181" t="s">
        <v>1130</v>
      </c>
      <c r="P151" s="181" t="s">
        <v>1131</v>
      </c>
      <c r="Q151" s="181" t="s">
        <v>1132</v>
      </c>
      <c r="R151" s="181" t="s">
        <v>1133</v>
      </c>
      <c r="S151" s="181" t="s">
        <v>1134</v>
      </c>
      <c r="T151" s="181" t="s">
        <v>1135</v>
      </c>
      <c r="U151" s="181" t="s">
        <v>1137</v>
      </c>
      <c r="V151" s="181" t="s">
        <v>1138</v>
      </c>
      <c r="W151" s="181" t="s">
        <v>1139</v>
      </c>
      <c r="X151" s="181" t="s">
        <v>1141</v>
      </c>
      <c r="Y151" s="181" t="s">
        <v>1142</v>
      </c>
      <c r="BU151" s="173"/>
      <c r="BV151" s="173"/>
      <c r="BW151" s="173"/>
      <c r="BX151" s="173"/>
      <c r="BY151" s="173"/>
      <c r="BZ151" s="173"/>
      <c r="CA151" s="173"/>
      <c r="CB151" s="173"/>
      <c r="CC151" s="173"/>
      <c r="CD151" s="173"/>
      <c r="CE151" s="173"/>
      <c r="CF151" s="173"/>
      <c r="CG151" s="173"/>
      <c r="CH151" s="173"/>
      <c r="CI151" s="173"/>
      <c r="CJ151" s="173"/>
      <c r="CK151" s="173"/>
      <c r="CL151" s="173"/>
    </row>
    <row r="152" spans="1:90" s="181" customFormat="1">
      <c r="A152" s="181">
        <v>-10</v>
      </c>
      <c r="B152" s="181">
        <f>2*E152</f>
        <v>25.38</v>
      </c>
      <c r="C152" s="181">
        <f>E152+F152</f>
        <v>19.41</v>
      </c>
      <c r="D152" s="181">
        <f>F152*2</f>
        <v>13.44</v>
      </c>
      <c r="E152" s="181">
        <v>12.69</v>
      </c>
      <c r="F152" s="181">
        <v>6.72</v>
      </c>
      <c r="G152" s="181">
        <v>4.2300000000000004</v>
      </c>
      <c r="H152" s="181">
        <v>8.83</v>
      </c>
      <c r="I152" s="181">
        <v>3.65</v>
      </c>
      <c r="J152" s="181">
        <v>4.6900000000000004</v>
      </c>
      <c r="K152" s="181">
        <v>6.86</v>
      </c>
      <c r="L152" s="181">
        <v>11.91</v>
      </c>
      <c r="M152" s="181">
        <v>4.38</v>
      </c>
      <c r="N152" s="181">
        <v>4.38</v>
      </c>
      <c r="O152" s="181">
        <v>5.7</v>
      </c>
      <c r="P152" s="181">
        <v>5.7</v>
      </c>
      <c r="Q152" s="181">
        <v>5.7</v>
      </c>
      <c r="R152" s="181">
        <v>9.35</v>
      </c>
      <c r="S152" s="181">
        <v>9.35</v>
      </c>
      <c r="T152" s="181">
        <v>9.35</v>
      </c>
      <c r="U152" s="181">
        <v>11.63</v>
      </c>
      <c r="V152" s="181">
        <v>11.63</v>
      </c>
      <c r="W152" s="181">
        <v>11.63</v>
      </c>
      <c r="X152" s="181">
        <v>15.14</v>
      </c>
      <c r="Y152" s="181">
        <v>17.12</v>
      </c>
      <c r="BU152" s="173"/>
      <c r="BV152" s="173"/>
      <c r="BW152" s="173"/>
      <c r="BX152" s="173"/>
      <c r="BY152" s="173"/>
      <c r="BZ152" s="173"/>
      <c r="CA152" s="173"/>
      <c r="CB152" s="173"/>
      <c r="CC152" s="173"/>
      <c r="CD152" s="173"/>
      <c r="CE152" s="173"/>
      <c r="CF152" s="173"/>
      <c r="CG152" s="173"/>
      <c r="CH152" s="173"/>
      <c r="CI152" s="173"/>
      <c r="CJ152" s="173"/>
      <c r="CK152" s="173"/>
      <c r="CL152" s="173"/>
    </row>
    <row r="153" spans="1:90" s="181" customFormat="1">
      <c r="A153" s="181">
        <v>-7</v>
      </c>
      <c r="B153" s="181">
        <f t="shared" ref="B153:B158" si="4">2*E153</f>
        <v>27</v>
      </c>
      <c r="C153" s="181">
        <f t="shared" ref="C153:C158" si="5">E153+F153</f>
        <v>20.65</v>
      </c>
      <c r="D153" s="181">
        <f t="shared" ref="D153:D158" si="6">F153*2</f>
        <v>14.3</v>
      </c>
      <c r="E153" s="181">
        <v>13.5</v>
      </c>
      <c r="F153" s="181">
        <v>7.15</v>
      </c>
      <c r="G153" s="181">
        <v>4.5</v>
      </c>
      <c r="H153" s="181">
        <v>9.39</v>
      </c>
      <c r="I153" s="181">
        <v>3.88</v>
      </c>
      <c r="J153" s="181">
        <v>4.99</v>
      </c>
      <c r="K153" s="181">
        <v>7.33</v>
      </c>
      <c r="L153" s="181">
        <v>12.74</v>
      </c>
      <c r="M153" s="181">
        <v>4.5999999999999996</v>
      </c>
      <c r="N153" s="181">
        <v>4.5999999999999996</v>
      </c>
      <c r="O153" s="181">
        <v>6.4</v>
      </c>
      <c r="P153" s="181">
        <v>6.4</v>
      </c>
      <c r="Q153" s="181">
        <v>6.4</v>
      </c>
      <c r="R153" s="181">
        <v>10</v>
      </c>
      <c r="S153" s="181">
        <v>10</v>
      </c>
      <c r="T153" s="181">
        <v>10</v>
      </c>
      <c r="U153" s="181">
        <v>12.5</v>
      </c>
      <c r="V153" s="181">
        <v>12.5</v>
      </c>
      <c r="W153" s="181">
        <v>12.5</v>
      </c>
      <c r="X153" s="181">
        <v>16.600000000000001</v>
      </c>
      <c r="Y153" s="181">
        <v>18.5</v>
      </c>
      <c r="BU153" s="173"/>
      <c r="BV153" s="173"/>
      <c r="BW153" s="173"/>
      <c r="BX153" s="173"/>
      <c r="BY153" s="173"/>
      <c r="BZ153" s="173"/>
      <c r="CA153" s="173"/>
      <c r="CB153" s="173"/>
      <c r="CC153" s="173"/>
      <c r="CD153" s="173"/>
      <c r="CE153" s="173"/>
      <c r="CF153" s="173"/>
      <c r="CG153" s="173"/>
      <c r="CH153" s="173"/>
      <c r="CI153" s="173"/>
      <c r="CJ153" s="173"/>
      <c r="CK153" s="173"/>
      <c r="CL153" s="173"/>
    </row>
    <row r="154" spans="1:90" s="181" customFormat="1">
      <c r="A154" s="181">
        <v>-2</v>
      </c>
      <c r="B154" s="181">
        <f t="shared" si="4"/>
        <v>24.06</v>
      </c>
      <c r="C154" s="181">
        <f t="shared" si="5"/>
        <v>18.86</v>
      </c>
      <c r="D154" s="181">
        <f t="shared" si="6"/>
        <v>13.66</v>
      </c>
      <c r="E154" s="181">
        <v>12.03</v>
      </c>
      <c r="F154" s="181">
        <v>6.83</v>
      </c>
      <c r="G154" s="181">
        <v>4.25</v>
      </c>
      <c r="H154" s="181">
        <v>9.6999999999999993</v>
      </c>
      <c r="I154" s="181">
        <v>3.68</v>
      </c>
      <c r="J154" s="181">
        <v>4.74</v>
      </c>
      <c r="K154" s="181">
        <v>7.29</v>
      </c>
      <c r="L154" s="181">
        <v>12.39</v>
      </c>
      <c r="M154" s="181">
        <v>4.7</v>
      </c>
      <c r="N154" s="181">
        <v>4.7</v>
      </c>
      <c r="O154" s="181">
        <v>7.14</v>
      </c>
      <c r="P154" s="181">
        <v>7.14</v>
      </c>
      <c r="Q154" s="181">
        <v>7.14</v>
      </c>
      <c r="R154" s="181">
        <v>10.6</v>
      </c>
      <c r="S154" s="181">
        <v>10.6</v>
      </c>
      <c r="T154" s="181">
        <v>10.6</v>
      </c>
      <c r="U154" s="181">
        <v>13.56</v>
      </c>
      <c r="V154" s="181">
        <v>13.56</v>
      </c>
      <c r="W154" s="181">
        <v>13.56</v>
      </c>
      <c r="X154" s="181">
        <v>17.66</v>
      </c>
      <c r="Y154" s="181">
        <v>19.89</v>
      </c>
      <c r="BU154" s="173"/>
      <c r="BV154" s="173"/>
      <c r="BW154" s="173"/>
      <c r="BX154" s="173"/>
      <c r="BY154" s="173"/>
      <c r="BZ154" s="173"/>
      <c r="CA154" s="173"/>
      <c r="CB154" s="173"/>
      <c r="CC154" s="173"/>
      <c r="CD154" s="173"/>
      <c r="CE154" s="173"/>
      <c r="CF154" s="173"/>
      <c r="CG154" s="173"/>
      <c r="CH154" s="173"/>
      <c r="CI154" s="173"/>
      <c r="CJ154" s="173"/>
      <c r="CK154" s="173"/>
      <c r="CL154" s="173"/>
    </row>
    <row r="155" spans="1:90" s="181" customFormat="1">
      <c r="A155" s="181">
        <v>0</v>
      </c>
      <c r="B155" s="181">
        <f>2*E155</f>
        <v>22.58</v>
      </c>
      <c r="C155" s="181">
        <f t="shared" si="5"/>
        <v>17.96</v>
      </c>
      <c r="D155" s="181">
        <f t="shared" si="6"/>
        <v>13.34</v>
      </c>
      <c r="E155" s="181">
        <v>11.29</v>
      </c>
      <c r="F155" s="181">
        <v>6.67</v>
      </c>
      <c r="G155" s="181">
        <v>4.125</v>
      </c>
      <c r="H155" s="181">
        <v>9.85</v>
      </c>
      <c r="I155" s="181">
        <v>3.59</v>
      </c>
      <c r="J155" s="181">
        <v>4.62</v>
      </c>
      <c r="K155" s="181">
        <v>7.27</v>
      </c>
      <c r="L155" s="181">
        <v>12.22</v>
      </c>
      <c r="M155" s="181">
        <v>4.75</v>
      </c>
      <c r="N155" s="181">
        <v>4.75</v>
      </c>
      <c r="O155" s="181">
        <v>7.42</v>
      </c>
      <c r="P155" s="181">
        <v>7.42</v>
      </c>
      <c r="Q155" s="181">
        <v>7.42</v>
      </c>
      <c r="R155" s="181">
        <v>11.049999999999999</v>
      </c>
      <c r="S155" s="181">
        <v>11.049999999999999</v>
      </c>
      <c r="T155" s="181">
        <v>11.049999999999999</v>
      </c>
      <c r="U155" s="181">
        <v>14.020000000000001</v>
      </c>
      <c r="V155" s="181">
        <v>14.020000000000001</v>
      </c>
      <c r="W155" s="181">
        <v>14.020000000000001</v>
      </c>
      <c r="X155" s="181">
        <v>18.080000000000002</v>
      </c>
      <c r="Y155" s="181">
        <v>20.445</v>
      </c>
      <c r="BU155" s="173"/>
      <c r="BV155" s="173"/>
      <c r="BW155" s="173"/>
      <c r="BX155" s="173"/>
      <c r="BY155" s="173"/>
      <c r="BZ155" s="173"/>
      <c r="CA155" s="173"/>
      <c r="CB155" s="173"/>
      <c r="CC155" s="173"/>
      <c r="CD155" s="173"/>
      <c r="CE155" s="173"/>
      <c r="CF155" s="173"/>
      <c r="CG155" s="173"/>
      <c r="CH155" s="173"/>
      <c r="CI155" s="173"/>
      <c r="CJ155" s="173"/>
      <c r="CK155" s="173"/>
      <c r="CL155" s="173"/>
    </row>
    <row r="156" spans="1:90" s="181" customFormat="1">
      <c r="A156" s="181">
        <v>2</v>
      </c>
      <c r="B156" s="181">
        <f>2*E156</f>
        <v>21.1</v>
      </c>
      <c r="C156" s="181">
        <f t="shared" si="5"/>
        <v>17.05</v>
      </c>
      <c r="D156" s="181">
        <f t="shared" si="6"/>
        <v>13</v>
      </c>
      <c r="E156" s="181">
        <v>10.55</v>
      </c>
      <c r="F156" s="181">
        <v>6.5</v>
      </c>
      <c r="G156" s="181">
        <v>4</v>
      </c>
      <c r="H156" s="181">
        <v>10</v>
      </c>
      <c r="I156" s="181">
        <v>3.49</v>
      </c>
      <c r="J156" s="181">
        <v>4.4800000000000004</v>
      </c>
      <c r="K156" s="181">
        <v>7.24</v>
      </c>
      <c r="L156" s="181">
        <v>12.04</v>
      </c>
      <c r="M156" s="181">
        <v>4.8</v>
      </c>
      <c r="N156" s="181">
        <v>4.8</v>
      </c>
      <c r="O156" s="181">
        <v>7.7</v>
      </c>
      <c r="P156" s="181">
        <v>7.7</v>
      </c>
      <c r="Q156" s="181">
        <v>7.7</v>
      </c>
      <c r="R156" s="181">
        <v>11.5</v>
      </c>
      <c r="S156" s="181">
        <v>11.5</v>
      </c>
      <c r="T156" s="181">
        <v>11.5</v>
      </c>
      <c r="U156" s="181">
        <v>14.48</v>
      </c>
      <c r="V156" s="181">
        <v>14.48</v>
      </c>
      <c r="W156" s="181">
        <v>14.48</v>
      </c>
      <c r="X156" s="181">
        <v>18.5</v>
      </c>
      <c r="Y156" s="181">
        <v>21</v>
      </c>
      <c r="BU156" s="173"/>
      <c r="BV156" s="173"/>
      <c r="BW156" s="173"/>
      <c r="BX156" s="173"/>
      <c r="BY156" s="173"/>
      <c r="BZ156" s="173"/>
      <c r="CA156" s="173"/>
      <c r="CB156" s="173"/>
      <c r="CC156" s="173"/>
      <c r="CD156" s="173"/>
      <c r="CE156" s="173"/>
      <c r="CF156" s="173"/>
      <c r="CG156" s="173"/>
      <c r="CH156" s="173"/>
      <c r="CI156" s="173"/>
      <c r="CJ156" s="173"/>
      <c r="CK156" s="173"/>
      <c r="CL156" s="173"/>
    </row>
    <row r="157" spans="1:90" s="181" customFormat="1">
      <c r="A157" s="181">
        <v>7</v>
      </c>
      <c r="B157" s="181">
        <f t="shared" si="4"/>
        <v>29.4</v>
      </c>
      <c r="C157" s="181">
        <f t="shared" si="5"/>
        <v>22.799999999999997</v>
      </c>
      <c r="D157" s="181">
        <f t="shared" si="6"/>
        <v>16.2</v>
      </c>
      <c r="E157" s="181">
        <v>14.7</v>
      </c>
      <c r="F157" s="181">
        <v>8.1</v>
      </c>
      <c r="G157" s="181">
        <v>4.7</v>
      </c>
      <c r="H157" s="181">
        <v>11.4</v>
      </c>
      <c r="I157" s="181">
        <v>4.2</v>
      </c>
      <c r="J157" s="181">
        <v>5.4</v>
      </c>
      <c r="K157" s="181">
        <v>8.6</v>
      </c>
      <c r="L157" s="181">
        <v>15.3</v>
      </c>
      <c r="M157" s="181">
        <v>6.2</v>
      </c>
      <c r="N157" s="181">
        <v>6.2</v>
      </c>
      <c r="O157" s="181">
        <v>10</v>
      </c>
      <c r="P157" s="181">
        <v>10</v>
      </c>
      <c r="Q157" s="181">
        <v>10</v>
      </c>
      <c r="R157" s="181">
        <v>14.1</v>
      </c>
      <c r="S157" s="181">
        <v>14.1</v>
      </c>
      <c r="T157" s="181">
        <v>14.1</v>
      </c>
      <c r="U157" s="181">
        <v>17.3</v>
      </c>
      <c r="V157" s="181">
        <v>17.3</v>
      </c>
      <c r="W157" s="181">
        <v>17.3</v>
      </c>
      <c r="X157" s="181">
        <v>25</v>
      </c>
      <c r="Y157" s="181">
        <v>32</v>
      </c>
      <c r="BU157" s="173"/>
      <c r="BV157" s="173"/>
      <c r="BW157" s="173"/>
      <c r="BX157" s="173"/>
      <c r="BY157" s="173"/>
      <c r="BZ157" s="173"/>
      <c r="CA157" s="173"/>
      <c r="CB157" s="173"/>
      <c r="CC157" s="173"/>
      <c r="CD157" s="173"/>
      <c r="CE157" s="173"/>
      <c r="CF157" s="173"/>
      <c r="CG157" s="173"/>
      <c r="CH157" s="173"/>
      <c r="CI157" s="173"/>
      <c r="CJ157" s="173"/>
      <c r="CK157" s="173"/>
      <c r="CL157" s="173"/>
    </row>
    <row r="158" spans="1:90" s="181" customFormat="1">
      <c r="A158" s="181">
        <v>15</v>
      </c>
      <c r="B158" s="181">
        <f t="shared" si="4"/>
        <v>36.54</v>
      </c>
      <c r="C158" s="181">
        <f t="shared" si="5"/>
        <v>28.93</v>
      </c>
      <c r="D158" s="181">
        <f t="shared" si="6"/>
        <v>21.32</v>
      </c>
      <c r="E158" s="181">
        <v>18.27</v>
      </c>
      <c r="F158" s="181">
        <v>10.66</v>
      </c>
      <c r="G158" s="181">
        <v>5.99</v>
      </c>
      <c r="H158" s="181">
        <v>14.43</v>
      </c>
      <c r="I158" s="181">
        <v>4.6900000000000004</v>
      </c>
      <c r="J158" s="181">
        <v>6.03</v>
      </c>
      <c r="K158" s="181">
        <v>10.050000000000001</v>
      </c>
      <c r="L158" s="181">
        <v>17.75</v>
      </c>
      <c r="M158" s="181">
        <v>7.7</v>
      </c>
      <c r="N158" s="181">
        <v>7.7</v>
      </c>
      <c r="O158" s="181">
        <v>11.5</v>
      </c>
      <c r="P158" s="181">
        <v>11.5</v>
      </c>
      <c r="Q158" s="181">
        <v>11.5</v>
      </c>
      <c r="R158" s="181">
        <v>16.02</v>
      </c>
      <c r="S158" s="181">
        <v>16.02</v>
      </c>
      <c r="T158" s="181">
        <v>16.02</v>
      </c>
      <c r="U158" s="181">
        <v>18</v>
      </c>
      <c r="V158" s="181">
        <v>18</v>
      </c>
      <c r="W158" s="181">
        <v>18</v>
      </c>
      <c r="X158" s="181">
        <v>26.5</v>
      </c>
      <c r="Y158" s="181">
        <v>33.200000000000003</v>
      </c>
      <c r="BU158" s="173"/>
      <c r="BV158" s="173"/>
      <c r="BW158" s="173"/>
      <c r="BX158" s="173"/>
      <c r="BY158" s="173"/>
      <c r="BZ158" s="173"/>
      <c r="CA158" s="173"/>
      <c r="CB158" s="173"/>
      <c r="CC158" s="173"/>
      <c r="CD158" s="173"/>
      <c r="CE158" s="173"/>
      <c r="CF158" s="173"/>
      <c r="CG158" s="173"/>
      <c r="CH158" s="173"/>
      <c r="CI158" s="173"/>
      <c r="CJ158" s="173"/>
      <c r="CK158" s="173"/>
      <c r="CL158" s="173"/>
    </row>
    <row r="159" spans="1:90" s="181" customFormat="1">
      <c r="A159" s="181" t="s">
        <v>229</v>
      </c>
      <c r="B159" s="181">
        <f>(B154/$E$14)</f>
        <v>3.7227294981165264</v>
      </c>
      <c r="C159" s="181">
        <f t="shared" ref="C159:H159" si="7">(C154/$E$14)</f>
        <v>2.9181495567114584</v>
      </c>
      <c r="D159" s="181">
        <f t="shared" si="7"/>
        <v>2.1135696153063903</v>
      </c>
      <c r="E159" s="181">
        <f t="shared" si="7"/>
        <v>1.8613647490582632</v>
      </c>
      <c r="F159" s="181">
        <f>(G154/$E$14)</f>
        <v>0.65758937518683447</v>
      </c>
      <c r="G159" s="181">
        <f>(F154/$E$14)</f>
        <v>1.0567848076531952</v>
      </c>
      <c r="H159" s="181">
        <f t="shared" si="7"/>
        <v>1.5008510445440693</v>
      </c>
      <c r="I159" s="181">
        <f>(I154/$E$14)</f>
        <v>0.56939503545589432</v>
      </c>
      <c r="J159" s="181">
        <f>(J154/$E$14)</f>
        <v>0.73340556197308138</v>
      </c>
      <c r="K159" s="181">
        <f>(K154/$E$14)</f>
        <v>1.1279591870851819</v>
      </c>
      <c r="L159" s="181">
        <f>(L154/$E$14)</f>
        <v>1.9170664373093835</v>
      </c>
      <c r="M159" s="181">
        <f t="shared" ref="M159:Y159" si="8">(M154/$E$14)</f>
        <v>0.7272164855007347</v>
      </c>
      <c r="N159" s="181">
        <f t="shared" si="8"/>
        <v>0.7272164855007347</v>
      </c>
      <c r="O159" s="181">
        <f t="shared" si="8"/>
        <v>1.1047501503138819</v>
      </c>
      <c r="P159" s="181">
        <f t="shared" si="8"/>
        <v>1.1047501503138819</v>
      </c>
      <c r="Q159" s="181">
        <f t="shared" si="8"/>
        <v>1.1047501503138819</v>
      </c>
      <c r="R159" s="181">
        <f t="shared" si="8"/>
        <v>1.6401052651718695</v>
      </c>
      <c r="S159" s="181">
        <f t="shared" si="8"/>
        <v>1.6401052651718695</v>
      </c>
      <c r="T159" s="181">
        <f t="shared" si="8"/>
        <v>1.6401052651718695</v>
      </c>
      <c r="U159" s="181">
        <f t="shared" si="8"/>
        <v>2.0980969241255236</v>
      </c>
      <c r="V159" s="181">
        <f t="shared" si="8"/>
        <v>2.0980969241255236</v>
      </c>
      <c r="W159" s="181">
        <f t="shared" si="8"/>
        <v>2.0980969241255236</v>
      </c>
      <c r="X159" s="181">
        <f t="shared" si="8"/>
        <v>2.732477262541058</v>
      </c>
      <c r="Y159" s="181">
        <f t="shared" si="8"/>
        <v>3.0775182758743855</v>
      </c>
      <c r="BU159" s="173"/>
      <c r="BV159" s="173"/>
      <c r="BW159" s="173"/>
      <c r="BX159" s="173"/>
      <c r="BY159" s="173"/>
      <c r="BZ159" s="173"/>
      <c r="CA159" s="173"/>
      <c r="CB159" s="173"/>
      <c r="CC159" s="173"/>
      <c r="CD159" s="173"/>
      <c r="CE159" s="173"/>
      <c r="CF159" s="173"/>
      <c r="CG159" s="173"/>
      <c r="CH159" s="173"/>
      <c r="CI159" s="173"/>
      <c r="CJ159" s="173"/>
      <c r="CK159" s="173"/>
      <c r="CL159" s="173"/>
    </row>
    <row r="160" spans="1:90" s="181" customFormat="1">
      <c r="BU160" s="173"/>
      <c r="BV160" s="173"/>
      <c r="BW160" s="173"/>
      <c r="BX160" s="173"/>
      <c r="BY160" s="173"/>
      <c r="BZ160" s="173"/>
      <c r="CA160" s="173"/>
      <c r="CB160" s="173"/>
      <c r="CC160" s="173"/>
      <c r="CD160" s="173"/>
      <c r="CE160" s="173"/>
      <c r="CF160" s="173"/>
      <c r="CG160" s="173"/>
      <c r="CH160" s="173"/>
      <c r="CI160" s="173"/>
      <c r="CJ160" s="173"/>
      <c r="CK160" s="173"/>
      <c r="CL160" s="173"/>
    </row>
    <row r="161" spans="1:90" s="181" customFormat="1">
      <c r="BU161" s="173"/>
      <c r="BV161" s="173"/>
      <c r="BW161" s="173"/>
      <c r="BX161" s="173"/>
      <c r="BY161" s="173"/>
      <c r="BZ161" s="173"/>
      <c r="CA161" s="173"/>
      <c r="CB161" s="173"/>
      <c r="CC161" s="173"/>
      <c r="CD161" s="173"/>
      <c r="CE161" s="173"/>
      <c r="CF161" s="173"/>
      <c r="CG161" s="173"/>
      <c r="CH161" s="173"/>
      <c r="CI161" s="173"/>
      <c r="CJ161" s="173"/>
      <c r="CK161" s="173"/>
      <c r="CL161" s="173"/>
    </row>
    <row r="162" spans="1:90" s="181" customFormat="1">
      <c r="BU162" s="173"/>
      <c r="BV162" s="173"/>
      <c r="BW162" s="173"/>
      <c r="BX162" s="173"/>
      <c r="BY162" s="173"/>
      <c r="BZ162" s="173"/>
      <c r="CA162" s="173"/>
      <c r="CB162" s="173"/>
      <c r="CC162" s="173"/>
      <c r="CD162" s="173"/>
      <c r="CE162" s="173"/>
      <c r="CF162" s="173"/>
      <c r="CG162" s="173"/>
      <c r="CH162" s="173"/>
      <c r="CI162" s="173"/>
      <c r="CJ162" s="173"/>
      <c r="CK162" s="173"/>
      <c r="CL162" s="173"/>
    </row>
    <row r="163" spans="1:90" s="181" customFormat="1">
      <c r="BU163" s="173"/>
      <c r="BV163" s="173"/>
      <c r="BW163" s="173"/>
      <c r="BX163" s="173"/>
      <c r="BY163" s="173"/>
      <c r="BZ163" s="173"/>
      <c r="CA163" s="173"/>
      <c r="CB163" s="173"/>
      <c r="CC163" s="173"/>
      <c r="CD163" s="173"/>
      <c r="CE163" s="173"/>
      <c r="CF163" s="173"/>
      <c r="CG163" s="173"/>
      <c r="CH163" s="173"/>
      <c r="CI163" s="173"/>
      <c r="CJ163" s="173"/>
      <c r="CK163" s="173"/>
      <c r="CL163" s="173"/>
    </row>
    <row r="164" spans="1:90" s="181" customFormat="1">
      <c r="BU164" s="173"/>
      <c r="BV164" s="173"/>
      <c r="BW164" s="173"/>
      <c r="BX164" s="173"/>
      <c r="BY164" s="173"/>
      <c r="BZ164" s="173"/>
      <c r="CA164" s="173"/>
      <c r="CB164" s="173"/>
      <c r="CC164" s="173"/>
      <c r="CD164" s="173"/>
      <c r="CE164" s="173"/>
      <c r="CF164" s="173"/>
      <c r="CG164" s="173"/>
      <c r="CH164" s="173"/>
      <c r="CI164" s="173"/>
      <c r="CJ164" s="173"/>
      <c r="CK164" s="173"/>
      <c r="CL164" s="173"/>
    </row>
    <row r="165" spans="1:90" s="181" customFormat="1">
      <c r="A165" s="181" t="s">
        <v>1103</v>
      </c>
      <c r="BU165" s="173"/>
      <c r="BV165" s="173"/>
      <c r="BW165" s="173"/>
      <c r="BX165" s="173"/>
      <c r="BY165" s="173"/>
      <c r="BZ165" s="173"/>
      <c r="CA165" s="173"/>
      <c r="CB165" s="173"/>
      <c r="CC165" s="173"/>
      <c r="CD165" s="173"/>
      <c r="CE165" s="173"/>
      <c r="CF165" s="173"/>
      <c r="CG165" s="173"/>
      <c r="CH165" s="173"/>
      <c r="CI165" s="173"/>
      <c r="CJ165" s="173"/>
      <c r="CK165" s="173"/>
      <c r="CL165" s="173"/>
    </row>
    <row r="166" spans="1:90" s="181" customFormat="1">
      <c r="A166" s="181" t="s">
        <v>11</v>
      </c>
      <c r="B166" s="181" t="s">
        <v>119</v>
      </c>
      <c r="C166" s="181" t="s">
        <v>121</v>
      </c>
      <c r="D166" s="181" t="s">
        <v>120</v>
      </c>
      <c r="E166" s="181" t="s">
        <v>202</v>
      </c>
      <c r="F166" s="181" t="s">
        <v>85</v>
      </c>
      <c r="G166" s="181" t="s">
        <v>812</v>
      </c>
      <c r="H166" s="181" t="s">
        <v>693</v>
      </c>
      <c r="I166" s="181" t="s">
        <v>811</v>
      </c>
      <c r="J166" s="181" t="s">
        <v>681</v>
      </c>
      <c r="K166" s="181" t="s">
        <v>813</v>
      </c>
      <c r="L166" s="181" t="s">
        <v>683</v>
      </c>
      <c r="M166" s="181" t="s">
        <v>1128</v>
      </c>
      <c r="N166" s="181" t="s">
        <v>1129</v>
      </c>
      <c r="O166" s="181" t="s">
        <v>1130</v>
      </c>
      <c r="P166" s="181" t="s">
        <v>1131</v>
      </c>
      <c r="Q166" s="181" t="s">
        <v>1132</v>
      </c>
      <c r="R166" s="181" t="s">
        <v>1133</v>
      </c>
      <c r="S166" s="181" t="s">
        <v>1134</v>
      </c>
      <c r="T166" s="181" t="s">
        <v>1135</v>
      </c>
      <c r="U166" s="181" t="s">
        <v>1137</v>
      </c>
      <c r="V166" s="181" t="s">
        <v>1138</v>
      </c>
      <c r="W166" s="181" t="s">
        <v>1139</v>
      </c>
      <c r="X166" s="181" t="s">
        <v>1141</v>
      </c>
      <c r="Y166" s="181" t="s">
        <v>1142</v>
      </c>
      <c r="BU166" s="173"/>
      <c r="BV166" s="173"/>
      <c r="BW166" s="173"/>
      <c r="BX166" s="173"/>
      <c r="BY166" s="173"/>
      <c r="BZ166" s="173"/>
      <c r="CA166" s="173"/>
      <c r="CB166" s="173"/>
      <c r="CC166" s="173"/>
      <c r="CD166" s="173"/>
      <c r="CE166" s="173"/>
      <c r="CF166" s="173"/>
      <c r="CG166" s="173"/>
      <c r="CH166" s="173"/>
      <c r="CI166" s="173"/>
      <c r="CJ166" s="173"/>
      <c r="CK166" s="173"/>
      <c r="CL166" s="173"/>
    </row>
    <row r="167" spans="1:90" s="181" customFormat="1">
      <c r="A167" s="181">
        <v>-10</v>
      </c>
      <c r="B167" s="181">
        <f>2*E167</f>
        <v>25.28</v>
      </c>
      <c r="C167" s="181">
        <f>E167+F167</f>
        <v>19.57</v>
      </c>
      <c r="D167" s="181">
        <f>F167*2</f>
        <v>13.86</v>
      </c>
      <c r="E167" s="181">
        <v>12.64</v>
      </c>
      <c r="F167" s="181">
        <v>6.93</v>
      </c>
      <c r="G167" s="181">
        <v>4.32</v>
      </c>
      <c r="H167" s="181">
        <v>9.25</v>
      </c>
      <c r="I167" s="181">
        <v>3.65</v>
      </c>
      <c r="J167" s="181">
        <v>4.6900000000000004</v>
      </c>
      <c r="K167" s="181">
        <v>6.86</v>
      </c>
      <c r="L167" s="181">
        <v>11.91</v>
      </c>
      <c r="M167" s="181">
        <v>4.51</v>
      </c>
      <c r="N167" s="181">
        <v>4.51</v>
      </c>
      <c r="O167" s="181">
        <v>6</v>
      </c>
      <c r="P167" s="181">
        <v>6</v>
      </c>
      <c r="Q167" s="181">
        <v>6</v>
      </c>
      <c r="R167" s="181">
        <v>9.8000000000000007</v>
      </c>
      <c r="S167" s="181">
        <v>9.8000000000000007</v>
      </c>
      <c r="T167" s="181">
        <v>9.8000000000000007</v>
      </c>
      <c r="U167" s="181">
        <v>11.95</v>
      </c>
      <c r="V167" s="181">
        <v>11.95</v>
      </c>
      <c r="W167" s="181">
        <v>11.95</v>
      </c>
      <c r="X167" s="181">
        <v>15.77</v>
      </c>
      <c r="Y167" s="181">
        <v>18.13</v>
      </c>
      <c r="BU167" s="173"/>
      <c r="BV167" s="173"/>
      <c r="BW167" s="173"/>
      <c r="BX167" s="173"/>
      <c r="BY167" s="173"/>
      <c r="BZ167" s="173"/>
      <c r="CA167" s="173"/>
      <c r="CB167" s="173"/>
      <c r="CC167" s="173"/>
      <c r="CD167" s="173"/>
      <c r="CE167" s="173"/>
      <c r="CF167" s="173"/>
      <c r="CG167" s="173"/>
      <c r="CH167" s="173"/>
      <c r="CI167" s="173"/>
      <c r="CJ167" s="173"/>
      <c r="CK167" s="173"/>
      <c r="CL167" s="173"/>
    </row>
    <row r="168" spans="1:90" s="181" customFormat="1">
      <c r="A168" s="181">
        <v>-7</v>
      </c>
      <c r="B168" s="181">
        <f t="shared" ref="B168:B169" si="9">2*E168</f>
        <v>26.9</v>
      </c>
      <c r="C168" s="181">
        <f t="shared" ref="C168:C173" si="10">E168+F168</f>
        <v>20.83</v>
      </c>
      <c r="D168" s="181">
        <f t="shared" ref="D168:D173" si="11">F168*2</f>
        <v>14.76</v>
      </c>
      <c r="E168" s="181">
        <v>13.45</v>
      </c>
      <c r="F168" s="181">
        <v>7.38</v>
      </c>
      <c r="G168" s="181">
        <v>4.5999999999999996</v>
      </c>
      <c r="H168" s="181">
        <v>9.85</v>
      </c>
      <c r="I168" s="181">
        <v>3.88</v>
      </c>
      <c r="J168" s="181">
        <v>4.99</v>
      </c>
      <c r="K168" s="181">
        <v>7.33</v>
      </c>
      <c r="L168" s="181">
        <v>12.74</v>
      </c>
      <c r="M168" s="181">
        <v>4.66</v>
      </c>
      <c r="N168" s="181">
        <v>4.66</v>
      </c>
      <c r="O168" s="181">
        <v>6.58</v>
      </c>
      <c r="P168" s="181">
        <v>6.58</v>
      </c>
      <c r="Q168" s="181">
        <v>6.58</v>
      </c>
      <c r="R168" s="181">
        <v>10.31</v>
      </c>
      <c r="S168" s="181">
        <v>10.31</v>
      </c>
      <c r="T168" s="181">
        <v>10.31</v>
      </c>
      <c r="U168" s="181">
        <v>12.67</v>
      </c>
      <c r="V168" s="181">
        <v>12.67</v>
      </c>
      <c r="W168" s="181">
        <v>12.67</v>
      </c>
      <c r="X168" s="181">
        <v>17.239999999999998</v>
      </c>
      <c r="Y168" s="181">
        <v>19.739999999999998</v>
      </c>
      <c r="BU168" s="173"/>
      <c r="BV168" s="173"/>
      <c r="BW168" s="173"/>
      <c r="BX168" s="173"/>
      <c r="BY168" s="173"/>
      <c r="BZ168" s="173"/>
      <c r="CA168" s="173"/>
      <c r="CB168" s="173"/>
      <c r="CC168" s="173"/>
      <c r="CD168" s="173"/>
      <c r="CE168" s="173"/>
      <c r="CF168" s="173"/>
      <c r="CG168" s="173"/>
      <c r="CH168" s="173"/>
      <c r="CI168" s="173"/>
      <c r="CJ168" s="173"/>
      <c r="CK168" s="173"/>
      <c r="CL168" s="173"/>
    </row>
    <row r="169" spans="1:90" s="181" customFormat="1">
      <c r="A169" s="181">
        <v>-2</v>
      </c>
      <c r="B169" s="181">
        <f t="shared" si="9"/>
        <v>24.98</v>
      </c>
      <c r="C169" s="181">
        <f t="shared" si="10"/>
        <v>19.55</v>
      </c>
      <c r="D169" s="181">
        <f t="shared" si="11"/>
        <v>14.12</v>
      </c>
      <c r="E169" s="181">
        <v>12.49</v>
      </c>
      <c r="F169" s="181">
        <v>7.06</v>
      </c>
      <c r="G169" s="181">
        <v>4.43</v>
      </c>
      <c r="H169" s="181">
        <v>9.8699999999999992</v>
      </c>
      <c r="I169" s="181">
        <v>3.68</v>
      </c>
      <c r="J169" s="181">
        <v>4.74</v>
      </c>
      <c r="K169" s="181">
        <v>7.29</v>
      </c>
      <c r="L169" s="181">
        <v>12.39</v>
      </c>
      <c r="M169" s="181">
        <v>4.93</v>
      </c>
      <c r="N169" s="181">
        <v>4.93</v>
      </c>
      <c r="O169" s="181">
        <v>7.53</v>
      </c>
      <c r="P169" s="181">
        <v>7.53</v>
      </c>
      <c r="Q169" s="181">
        <v>7.53</v>
      </c>
      <c r="R169" s="181">
        <v>11</v>
      </c>
      <c r="S169" s="181">
        <v>11</v>
      </c>
      <c r="T169" s="181">
        <v>11</v>
      </c>
      <c r="U169" s="181">
        <v>13.81</v>
      </c>
      <c r="V169" s="181">
        <v>13.81</v>
      </c>
      <c r="W169" s="181">
        <v>13.81</v>
      </c>
      <c r="X169" s="181">
        <v>18.36</v>
      </c>
      <c r="Y169" s="181">
        <v>20.36</v>
      </c>
      <c r="BU169" s="173"/>
      <c r="BV169" s="173"/>
      <c r="BW169" s="173"/>
      <c r="BX169" s="173"/>
      <c r="BY169" s="173"/>
      <c r="BZ169" s="173"/>
      <c r="CA169" s="173"/>
      <c r="CB169" s="173"/>
      <c r="CC169" s="173"/>
      <c r="CD169" s="173"/>
      <c r="CE169" s="173"/>
      <c r="CF169" s="173"/>
      <c r="CG169" s="173"/>
      <c r="CH169" s="173"/>
      <c r="CI169" s="173"/>
      <c r="CJ169" s="173"/>
      <c r="CK169" s="173"/>
      <c r="CL169" s="173"/>
    </row>
    <row r="170" spans="1:90" s="181" customFormat="1">
      <c r="A170" s="181">
        <v>0</v>
      </c>
      <c r="B170" s="181">
        <f>2*E170</f>
        <v>25.94</v>
      </c>
      <c r="C170" s="181">
        <f t="shared" si="10"/>
        <v>19.87</v>
      </c>
      <c r="D170" s="181">
        <f t="shared" si="11"/>
        <v>13.8</v>
      </c>
      <c r="E170" s="181">
        <v>12.97</v>
      </c>
      <c r="F170" s="181">
        <v>6.9</v>
      </c>
      <c r="G170" s="181">
        <v>4.34</v>
      </c>
      <c r="H170" s="181">
        <v>9.8849999999999998</v>
      </c>
      <c r="I170" s="181">
        <v>3.59</v>
      </c>
      <c r="J170" s="181">
        <v>4.62</v>
      </c>
      <c r="K170" s="181">
        <v>7.27</v>
      </c>
      <c r="L170" s="181">
        <v>12.22</v>
      </c>
      <c r="M170" s="181">
        <v>5.0399999999999991</v>
      </c>
      <c r="N170" s="181">
        <v>5.0399999999999991</v>
      </c>
      <c r="O170" s="181">
        <v>7.915</v>
      </c>
      <c r="P170" s="181">
        <v>7.915</v>
      </c>
      <c r="Q170" s="181">
        <v>7.915</v>
      </c>
      <c r="R170" s="181">
        <v>11.399999999999999</v>
      </c>
      <c r="S170" s="181">
        <v>11.399999999999999</v>
      </c>
      <c r="T170" s="181">
        <v>11.399999999999999</v>
      </c>
      <c r="U170" s="181">
        <v>14.270000000000001</v>
      </c>
      <c r="V170" s="181">
        <v>14.270000000000001</v>
      </c>
      <c r="W170" s="181">
        <v>14.270000000000001</v>
      </c>
      <c r="X170" s="181">
        <v>18.805</v>
      </c>
      <c r="Y170" s="181">
        <v>20.605000000000004</v>
      </c>
      <c r="BU170" s="173"/>
      <c r="BV170" s="173"/>
      <c r="BW170" s="173"/>
      <c r="BX170" s="173"/>
      <c r="BY170" s="173"/>
      <c r="BZ170" s="173"/>
      <c r="CA170" s="173"/>
      <c r="CB170" s="173"/>
      <c r="CC170" s="173"/>
      <c r="CD170" s="173"/>
      <c r="CE170" s="173"/>
      <c r="CF170" s="173"/>
      <c r="CG170" s="173"/>
      <c r="CH170" s="173"/>
      <c r="CI170" s="173"/>
      <c r="CJ170" s="173"/>
      <c r="CK170" s="173"/>
      <c r="CL170" s="173"/>
    </row>
    <row r="171" spans="1:90" s="181" customFormat="1">
      <c r="A171" s="181">
        <v>2</v>
      </c>
      <c r="B171" s="181">
        <f>2*E171</f>
        <v>23.06</v>
      </c>
      <c r="C171" s="181">
        <f t="shared" si="10"/>
        <v>18.28</v>
      </c>
      <c r="D171" s="181">
        <f t="shared" si="11"/>
        <v>13.5</v>
      </c>
      <c r="E171" s="181">
        <v>11.53</v>
      </c>
      <c r="F171" s="181">
        <v>6.75</v>
      </c>
      <c r="G171" s="181">
        <v>4.25</v>
      </c>
      <c r="H171" s="181">
        <v>9.9</v>
      </c>
      <c r="I171" s="181">
        <v>3.49</v>
      </c>
      <c r="J171" s="181">
        <v>4.4800000000000004</v>
      </c>
      <c r="K171" s="181">
        <v>7.24</v>
      </c>
      <c r="L171" s="181">
        <v>12.04</v>
      </c>
      <c r="M171" s="181">
        <v>5.15</v>
      </c>
      <c r="N171" s="181">
        <v>5.15</v>
      </c>
      <c r="O171" s="181">
        <v>8.3000000000000007</v>
      </c>
      <c r="P171" s="181">
        <v>8.3000000000000007</v>
      </c>
      <c r="Q171" s="181">
        <v>8.3000000000000007</v>
      </c>
      <c r="R171" s="181">
        <v>11.8</v>
      </c>
      <c r="S171" s="181">
        <v>11.8</v>
      </c>
      <c r="T171" s="181">
        <v>11.8</v>
      </c>
      <c r="U171" s="181">
        <v>14.73</v>
      </c>
      <c r="V171" s="181">
        <v>14.73</v>
      </c>
      <c r="W171" s="181">
        <v>14.73</v>
      </c>
      <c r="X171" s="181">
        <v>19.25</v>
      </c>
      <c r="Y171" s="181">
        <v>20.85</v>
      </c>
      <c r="BU171" s="173"/>
      <c r="BV171" s="173"/>
      <c r="BW171" s="173"/>
      <c r="BX171" s="173"/>
      <c r="BY171" s="173"/>
      <c r="BZ171" s="173"/>
      <c r="CA171" s="173"/>
      <c r="CB171" s="173"/>
      <c r="CC171" s="173"/>
      <c r="CD171" s="173"/>
      <c r="CE171" s="173"/>
      <c r="CF171" s="173"/>
      <c r="CG171" s="173"/>
      <c r="CH171" s="173"/>
      <c r="CI171" s="173"/>
      <c r="CJ171" s="173"/>
      <c r="CK171" s="173"/>
      <c r="CL171" s="173"/>
    </row>
    <row r="172" spans="1:90" s="181" customFormat="1">
      <c r="A172" s="181">
        <v>7</v>
      </c>
      <c r="B172" s="181">
        <f t="shared" ref="B172:B173" si="12">2*E172</f>
        <v>30.7</v>
      </c>
      <c r="C172" s="181">
        <f t="shared" si="10"/>
        <v>23.9</v>
      </c>
      <c r="D172" s="181">
        <f t="shared" si="11"/>
        <v>17.100000000000001</v>
      </c>
      <c r="E172" s="181">
        <v>15.35</v>
      </c>
      <c r="F172" s="181">
        <v>8.5500000000000007</v>
      </c>
      <c r="G172" s="181">
        <v>4.8499999999999996</v>
      </c>
      <c r="H172" s="181">
        <v>11.7</v>
      </c>
      <c r="I172" s="181">
        <v>4.2</v>
      </c>
      <c r="J172" s="181">
        <v>5.4</v>
      </c>
      <c r="K172" s="181">
        <v>8.6</v>
      </c>
      <c r="L172" s="181">
        <v>15.3</v>
      </c>
      <c r="M172" s="181">
        <v>6.6</v>
      </c>
      <c r="N172" s="181">
        <v>6.6</v>
      </c>
      <c r="O172" s="181">
        <v>10.49</v>
      </c>
      <c r="P172" s="181">
        <v>10.49</v>
      </c>
      <c r="Q172" s="181">
        <v>10.49</v>
      </c>
      <c r="R172" s="181">
        <v>14.65</v>
      </c>
      <c r="S172" s="181">
        <v>14.65</v>
      </c>
      <c r="T172" s="181">
        <v>14.65</v>
      </c>
      <c r="U172" s="181">
        <v>17.55</v>
      </c>
      <c r="V172" s="181">
        <v>17.55</v>
      </c>
      <c r="W172" s="181">
        <v>17.55</v>
      </c>
      <c r="X172" s="181">
        <v>25.25</v>
      </c>
      <c r="Y172" s="181">
        <v>32</v>
      </c>
      <c r="BU172" s="173"/>
      <c r="BV172" s="173"/>
      <c r="BW172" s="173"/>
      <c r="BX172" s="173"/>
      <c r="BY172" s="173"/>
      <c r="BZ172" s="173"/>
      <c r="CA172" s="173"/>
      <c r="CB172" s="173"/>
      <c r="CC172" s="173"/>
      <c r="CD172" s="173"/>
      <c r="CE172" s="173"/>
      <c r="CF172" s="173"/>
      <c r="CG172" s="173"/>
      <c r="CH172" s="173"/>
      <c r="CI172" s="173"/>
      <c r="CJ172" s="173"/>
      <c r="CK172" s="173"/>
      <c r="CL172" s="173"/>
    </row>
    <row r="173" spans="1:90" s="181" customFormat="1">
      <c r="A173" s="181">
        <v>15</v>
      </c>
      <c r="B173" s="181">
        <f t="shared" si="12"/>
        <v>37.96</v>
      </c>
      <c r="C173" s="181">
        <f t="shared" si="10"/>
        <v>29.990000000000002</v>
      </c>
      <c r="D173" s="181">
        <f t="shared" si="11"/>
        <v>22.02</v>
      </c>
      <c r="E173" s="181">
        <v>18.98</v>
      </c>
      <c r="F173" s="181">
        <v>11.01</v>
      </c>
      <c r="G173" s="181">
        <v>6.11</v>
      </c>
      <c r="H173" s="181">
        <v>14.88</v>
      </c>
      <c r="I173" s="181">
        <v>4.6900000000000004</v>
      </c>
      <c r="J173" s="181">
        <v>6.03</v>
      </c>
      <c r="K173" s="181">
        <v>10.050000000000001</v>
      </c>
      <c r="L173" s="181">
        <v>17.75</v>
      </c>
      <c r="M173" s="181">
        <v>8.16</v>
      </c>
      <c r="N173" s="181">
        <v>8.16</v>
      </c>
      <c r="O173" s="181">
        <v>11.8</v>
      </c>
      <c r="P173" s="181">
        <v>11.8</v>
      </c>
      <c r="Q173" s="181">
        <v>11.8</v>
      </c>
      <c r="R173" s="181">
        <v>16.25</v>
      </c>
      <c r="S173" s="181">
        <v>16.25</v>
      </c>
      <c r="T173" s="181">
        <v>16.25</v>
      </c>
      <c r="U173" s="181">
        <v>18.3</v>
      </c>
      <c r="V173" s="181">
        <v>18.3</v>
      </c>
      <c r="W173" s="181">
        <v>18.3</v>
      </c>
      <c r="X173" s="181">
        <v>26.9</v>
      </c>
      <c r="Y173" s="181">
        <v>33.5</v>
      </c>
      <c r="BU173" s="173"/>
      <c r="BV173" s="173"/>
      <c r="BW173" s="173"/>
      <c r="BX173" s="173"/>
      <c r="BY173" s="173"/>
      <c r="BZ173" s="173"/>
      <c r="CA173" s="173"/>
      <c r="CB173" s="173"/>
      <c r="CC173" s="173"/>
      <c r="CD173" s="173"/>
      <c r="CE173" s="173"/>
      <c r="CF173" s="173"/>
      <c r="CG173" s="173"/>
      <c r="CH173" s="173"/>
      <c r="CI173" s="173"/>
      <c r="CJ173" s="173"/>
      <c r="CK173" s="173"/>
      <c r="CL173" s="173"/>
    </row>
    <row r="174" spans="1:90" s="181" customFormat="1">
      <c r="A174" s="181" t="s">
        <v>229</v>
      </c>
      <c r="B174" s="181">
        <f>(B169/$E$14)</f>
        <v>3.8650782569805004</v>
      </c>
      <c r="C174" s="181">
        <f t="shared" ref="C174:D174" si="13">(C169/$E$14)</f>
        <v>3.0249111258594388</v>
      </c>
      <c r="D174" s="181">
        <f t="shared" si="13"/>
        <v>2.1847439947383771</v>
      </c>
      <c r="E174" s="181">
        <f>(E169/$E$14)</f>
        <v>1.9325391284902502</v>
      </c>
      <c r="F174" s="181">
        <f>(G169/$E$14)</f>
        <v>0.68544021931239452</v>
      </c>
      <c r="G174" s="181">
        <f>(F169/$E$14)</f>
        <v>1.0923719973691886</v>
      </c>
      <c r="H174" s="181">
        <f t="shared" ref="H174" si="14">(H169/$E$14)</f>
        <v>1.5271546195515426</v>
      </c>
      <c r="I174" s="181">
        <f>(I169/$E$14)</f>
        <v>0.56939503545589432</v>
      </c>
      <c r="J174" s="181">
        <f>(J169/$E$14)</f>
        <v>0.73340556197308138</v>
      </c>
      <c r="K174" s="181">
        <f>(K169/$E$14)</f>
        <v>1.1279591870851819</v>
      </c>
      <c r="L174" s="181">
        <f>(L169/$E$14)</f>
        <v>1.9170664373093835</v>
      </c>
      <c r="M174" s="181">
        <f t="shared" ref="M174:Y174" si="15">(M169/$E$14)</f>
        <v>0.76280367521672798</v>
      </c>
      <c r="N174" s="181">
        <f t="shared" si="15"/>
        <v>0.76280367521672798</v>
      </c>
      <c r="O174" s="181">
        <f t="shared" si="15"/>
        <v>1.165093645919262</v>
      </c>
      <c r="P174" s="181">
        <f t="shared" si="15"/>
        <v>1.165093645919262</v>
      </c>
      <c r="Q174" s="181">
        <f t="shared" si="15"/>
        <v>1.165093645919262</v>
      </c>
      <c r="R174" s="181">
        <f t="shared" si="15"/>
        <v>1.7019960298953363</v>
      </c>
      <c r="S174" s="181">
        <f t="shared" si="15"/>
        <v>1.7019960298953363</v>
      </c>
      <c r="T174" s="181">
        <f t="shared" si="15"/>
        <v>1.7019960298953363</v>
      </c>
      <c r="U174" s="181">
        <f t="shared" si="15"/>
        <v>2.1367786520776906</v>
      </c>
      <c r="V174" s="181">
        <f t="shared" si="15"/>
        <v>2.1367786520776906</v>
      </c>
      <c r="W174" s="181">
        <f t="shared" si="15"/>
        <v>2.1367786520776906</v>
      </c>
      <c r="X174" s="181">
        <f t="shared" si="15"/>
        <v>2.8407861008071249</v>
      </c>
      <c r="Y174" s="181">
        <f t="shared" si="15"/>
        <v>3.1502399244244588</v>
      </c>
      <c r="BU174" s="173"/>
      <c r="BV174" s="173"/>
      <c r="BW174" s="173"/>
      <c r="BX174" s="173"/>
      <c r="BY174" s="173"/>
      <c r="BZ174" s="173"/>
      <c r="CA174" s="173"/>
      <c r="CB174" s="173"/>
      <c r="CC174" s="173"/>
      <c r="CD174" s="173"/>
      <c r="CE174" s="173"/>
      <c r="CF174" s="173"/>
      <c r="CG174" s="173"/>
      <c r="CH174" s="173"/>
      <c r="CI174" s="173"/>
      <c r="CJ174" s="173"/>
      <c r="CK174" s="173"/>
      <c r="CL174" s="173"/>
    </row>
    <row r="175" spans="1:90" s="181" customFormat="1">
      <c r="BU175" s="173"/>
      <c r="BV175" s="173"/>
      <c r="BW175" s="173"/>
      <c r="BX175" s="173"/>
      <c r="BY175" s="173"/>
      <c r="BZ175" s="173"/>
      <c r="CA175" s="173"/>
      <c r="CB175" s="173"/>
      <c r="CC175" s="173"/>
      <c r="CD175" s="173"/>
      <c r="CE175" s="173"/>
      <c r="CF175" s="173"/>
      <c r="CG175" s="173"/>
      <c r="CH175" s="173"/>
      <c r="CI175" s="173"/>
      <c r="CJ175" s="173"/>
      <c r="CK175" s="173"/>
      <c r="CL175" s="173"/>
    </row>
    <row r="176" spans="1:90" s="181" customFormat="1">
      <c r="BU176" s="173"/>
      <c r="BV176" s="173"/>
      <c r="BW176" s="173"/>
      <c r="BX176" s="173"/>
      <c r="BY176" s="173"/>
      <c r="BZ176" s="173"/>
      <c r="CA176" s="173"/>
      <c r="CB176" s="173"/>
      <c r="CC176" s="173"/>
      <c r="CD176" s="173"/>
      <c r="CE176" s="173"/>
      <c r="CF176" s="173"/>
      <c r="CG176" s="173"/>
      <c r="CH176" s="173"/>
      <c r="CI176" s="173"/>
      <c r="CJ176" s="173"/>
      <c r="CK176" s="173"/>
      <c r="CL176" s="173"/>
    </row>
    <row r="177" spans="1:90" s="181" customFormat="1">
      <c r="BU177" s="173"/>
      <c r="BV177" s="173"/>
      <c r="BW177" s="173"/>
      <c r="BX177" s="173"/>
      <c r="BY177" s="173"/>
      <c r="BZ177" s="173"/>
      <c r="CA177" s="173"/>
      <c r="CB177" s="173"/>
      <c r="CC177" s="173"/>
      <c r="CD177" s="173"/>
      <c r="CE177" s="173"/>
      <c r="CF177" s="173"/>
      <c r="CG177" s="173"/>
      <c r="CH177" s="173"/>
      <c r="CI177" s="173"/>
      <c r="CJ177" s="173"/>
      <c r="CK177" s="173"/>
      <c r="CL177" s="173"/>
    </row>
    <row r="178" spans="1:90" s="181" customFormat="1">
      <c r="A178" s="181" t="s">
        <v>1104</v>
      </c>
      <c r="BU178" s="173"/>
      <c r="BV178" s="173"/>
      <c r="BW178" s="173"/>
      <c r="BX178" s="173"/>
      <c r="BY178" s="173"/>
      <c r="BZ178" s="173"/>
      <c r="CA178" s="173"/>
      <c r="CB178" s="173"/>
      <c r="CC178" s="173"/>
      <c r="CD178" s="173"/>
      <c r="CE178" s="173"/>
      <c r="CF178" s="173"/>
      <c r="CG178" s="173"/>
      <c r="CH178" s="173"/>
      <c r="CI178" s="173"/>
      <c r="CJ178" s="173"/>
      <c r="CK178" s="173"/>
      <c r="CL178" s="173"/>
    </row>
    <row r="179" spans="1:90" s="181" customFormat="1">
      <c r="A179" s="181" t="s">
        <v>11</v>
      </c>
      <c r="B179" s="181" t="s">
        <v>119</v>
      </c>
      <c r="C179" s="181" t="s">
        <v>121</v>
      </c>
      <c r="D179" s="181" t="s">
        <v>120</v>
      </c>
      <c r="E179" s="181" t="s">
        <v>202</v>
      </c>
      <c r="F179" s="181" t="s">
        <v>85</v>
      </c>
      <c r="G179" s="181" t="s">
        <v>812</v>
      </c>
      <c r="H179" s="181" t="s">
        <v>693</v>
      </c>
      <c r="I179" s="181" t="s">
        <v>811</v>
      </c>
      <c r="J179" s="181" t="s">
        <v>681</v>
      </c>
      <c r="K179" s="181" t="s">
        <v>813</v>
      </c>
      <c r="L179" s="181" t="s">
        <v>683</v>
      </c>
      <c r="M179" s="181" t="s">
        <v>1128</v>
      </c>
      <c r="N179" s="181" t="s">
        <v>1129</v>
      </c>
      <c r="O179" s="181" t="s">
        <v>1130</v>
      </c>
      <c r="P179" s="181" t="s">
        <v>1131</v>
      </c>
      <c r="Q179" s="181" t="s">
        <v>1132</v>
      </c>
      <c r="R179" s="181" t="s">
        <v>1133</v>
      </c>
      <c r="S179" s="181" t="s">
        <v>1134</v>
      </c>
      <c r="T179" s="181" t="s">
        <v>1135</v>
      </c>
      <c r="U179" s="181" t="s">
        <v>1137</v>
      </c>
      <c r="V179" s="181" t="s">
        <v>1138</v>
      </c>
      <c r="W179" s="181" t="s">
        <v>1139</v>
      </c>
      <c r="X179" s="181" t="s">
        <v>1141</v>
      </c>
      <c r="Y179" s="181" t="s">
        <v>1142</v>
      </c>
      <c r="BU179" s="173"/>
      <c r="BV179" s="173"/>
      <c r="BW179" s="173"/>
      <c r="BX179" s="173"/>
      <c r="BY179" s="173"/>
      <c r="BZ179" s="173"/>
      <c r="CA179" s="173"/>
      <c r="CB179" s="173"/>
      <c r="CC179" s="173"/>
      <c r="CD179" s="173"/>
      <c r="CE179" s="173"/>
      <c r="CF179" s="173"/>
      <c r="CG179" s="173"/>
      <c r="CH179" s="173"/>
      <c r="CI179" s="173"/>
      <c r="CJ179" s="173"/>
      <c r="CK179" s="173"/>
      <c r="CL179" s="173"/>
    </row>
    <row r="180" spans="1:90" s="181" customFormat="1">
      <c r="A180" s="181">
        <v>-10</v>
      </c>
      <c r="B180" s="181">
        <f>2*E180</f>
        <v>25.2</v>
      </c>
      <c r="C180" s="181">
        <f>E180+F180</f>
        <v>19.739999999999998</v>
      </c>
      <c r="D180" s="181">
        <f>F180*2</f>
        <v>14.28</v>
      </c>
      <c r="E180" s="181">
        <v>12.6</v>
      </c>
      <c r="F180" s="181">
        <v>7.14</v>
      </c>
      <c r="G180" s="181">
        <v>4.42</v>
      </c>
      <c r="H180" s="181">
        <v>9.68</v>
      </c>
      <c r="I180" s="181">
        <v>3.65</v>
      </c>
      <c r="J180" s="181">
        <v>4.6900000000000004</v>
      </c>
      <c r="K180" s="181">
        <v>6.86</v>
      </c>
      <c r="L180" s="181">
        <v>11.91</v>
      </c>
      <c r="M180" s="181">
        <v>4.6399999999999997</v>
      </c>
      <c r="N180" s="181">
        <v>4.6399999999999997</v>
      </c>
      <c r="O180" s="181">
        <v>6.4</v>
      </c>
      <c r="P180" s="181">
        <v>6.4</v>
      </c>
      <c r="Q180" s="181">
        <v>6.4</v>
      </c>
      <c r="R180" s="181">
        <v>10.25</v>
      </c>
      <c r="S180" s="181">
        <v>10.25</v>
      </c>
      <c r="T180" s="181">
        <v>10.25</v>
      </c>
      <c r="U180" s="181">
        <v>12.27</v>
      </c>
      <c r="V180" s="181">
        <v>12.27</v>
      </c>
      <c r="W180" s="181">
        <v>12.27</v>
      </c>
      <c r="X180" s="181">
        <v>16.39</v>
      </c>
      <c r="Y180" s="181">
        <v>18.5</v>
      </c>
      <c r="BU180" s="173"/>
      <c r="BV180" s="173"/>
      <c r="BW180" s="173"/>
      <c r="BX180" s="173"/>
      <c r="BY180" s="173"/>
      <c r="BZ180" s="173"/>
      <c r="CA180" s="173"/>
      <c r="CB180" s="173"/>
      <c r="CC180" s="173"/>
      <c r="CD180" s="173"/>
      <c r="CE180" s="173"/>
      <c r="CF180" s="173"/>
      <c r="CG180" s="173"/>
      <c r="CH180" s="173"/>
      <c r="CI180" s="173"/>
      <c r="CJ180" s="173"/>
      <c r="CK180" s="173"/>
      <c r="CL180" s="173"/>
    </row>
    <row r="181" spans="1:90" s="181" customFormat="1">
      <c r="A181" s="181">
        <v>-7</v>
      </c>
      <c r="B181" s="181">
        <f t="shared" ref="B181:B182" si="16">2*E181</f>
        <v>26.8</v>
      </c>
      <c r="C181" s="181">
        <f t="shared" ref="C181:C186" si="17">E181+F181</f>
        <v>21</v>
      </c>
      <c r="D181" s="181">
        <f t="shared" ref="D181:D186" si="18">F181*2</f>
        <v>15.2</v>
      </c>
      <c r="E181" s="181">
        <v>13.4</v>
      </c>
      <c r="F181" s="181">
        <v>7.6</v>
      </c>
      <c r="G181" s="181">
        <v>4.7</v>
      </c>
      <c r="H181" s="181">
        <v>10.3</v>
      </c>
      <c r="I181" s="181">
        <v>3.88</v>
      </c>
      <c r="J181" s="181">
        <v>4.99</v>
      </c>
      <c r="K181" s="181">
        <v>7.33</v>
      </c>
      <c r="L181" s="181">
        <v>12.74</v>
      </c>
      <c r="M181" s="181">
        <v>4.7</v>
      </c>
      <c r="N181" s="181">
        <v>4.7</v>
      </c>
      <c r="O181" s="181">
        <v>6.71</v>
      </c>
      <c r="P181" s="181">
        <v>6.71</v>
      </c>
      <c r="Q181" s="181">
        <v>6.71</v>
      </c>
      <c r="R181" s="181">
        <v>10.62</v>
      </c>
      <c r="S181" s="181">
        <v>10.62</v>
      </c>
      <c r="T181" s="181">
        <v>10.62</v>
      </c>
      <c r="U181" s="181">
        <v>13</v>
      </c>
      <c r="V181" s="181">
        <v>13</v>
      </c>
      <c r="W181" s="181">
        <v>13</v>
      </c>
      <c r="X181" s="181">
        <v>17.899999999999999</v>
      </c>
      <c r="Y181" s="181">
        <v>21</v>
      </c>
      <c r="BU181" s="173"/>
      <c r="BV181" s="173"/>
      <c r="BW181" s="173"/>
      <c r="BX181" s="173"/>
      <c r="BY181" s="173"/>
      <c r="BZ181" s="173"/>
      <c r="CA181" s="173"/>
      <c r="CB181" s="173"/>
      <c r="CC181" s="173"/>
      <c r="CD181" s="173"/>
      <c r="CE181" s="173"/>
      <c r="CF181" s="173"/>
      <c r="CG181" s="173"/>
      <c r="CH181" s="173"/>
      <c r="CI181" s="173"/>
      <c r="CJ181" s="173"/>
      <c r="CK181" s="173"/>
      <c r="CL181" s="173"/>
    </row>
    <row r="182" spans="1:90" s="181" customFormat="1">
      <c r="A182" s="181">
        <v>-2</v>
      </c>
      <c r="B182" s="181">
        <f t="shared" si="16"/>
        <v>25.9</v>
      </c>
      <c r="C182" s="181">
        <f t="shared" si="17"/>
        <v>20.25</v>
      </c>
      <c r="D182" s="181">
        <f t="shared" si="18"/>
        <v>14.6</v>
      </c>
      <c r="E182" s="181">
        <v>12.95</v>
      </c>
      <c r="F182" s="181">
        <v>7.3</v>
      </c>
      <c r="G182" s="181">
        <v>4.5999999999999996</v>
      </c>
      <c r="H182" s="181">
        <v>10.050000000000001</v>
      </c>
      <c r="I182" s="181">
        <v>3.68</v>
      </c>
      <c r="J182" s="181">
        <v>4.74</v>
      </c>
      <c r="K182" s="181">
        <v>7.29</v>
      </c>
      <c r="L182" s="181">
        <v>12.39</v>
      </c>
      <c r="M182" s="181">
        <v>5.16</v>
      </c>
      <c r="N182" s="181">
        <v>5.16</v>
      </c>
      <c r="O182" s="181">
        <v>7.92</v>
      </c>
      <c r="P182" s="181">
        <v>7.92</v>
      </c>
      <c r="Q182" s="181">
        <v>7.92</v>
      </c>
      <c r="R182" s="181">
        <v>11.83</v>
      </c>
      <c r="S182" s="181">
        <v>11.83</v>
      </c>
      <c r="T182" s="181">
        <v>11.83</v>
      </c>
      <c r="U182" s="181">
        <v>14.06</v>
      </c>
      <c r="V182" s="181">
        <v>14.06</v>
      </c>
      <c r="W182" s="181">
        <v>14.06</v>
      </c>
      <c r="X182" s="181">
        <v>19.059999999999999</v>
      </c>
      <c r="Y182" s="181">
        <v>21</v>
      </c>
      <c r="BU182" s="173"/>
      <c r="BV182" s="173"/>
      <c r="BW182" s="173"/>
      <c r="BX182" s="173"/>
      <c r="BY182" s="173"/>
      <c r="BZ182" s="173"/>
      <c r="CA182" s="173"/>
      <c r="CB182" s="173"/>
      <c r="CC182" s="173"/>
      <c r="CD182" s="173"/>
      <c r="CE182" s="173"/>
      <c r="CF182" s="173"/>
      <c r="CG182" s="173"/>
      <c r="CH182" s="173"/>
      <c r="CI182" s="173"/>
      <c r="CJ182" s="173"/>
      <c r="CK182" s="173"/>
      <c r="CL182" s="173"/>
    </row>
    <row r="183" spans="1:90" s="181" customFormat="1">
      <c r="A183" s="181">
        <v>0</v>
      </c>
      <c r="B183" s="181">
        <f>2*E183</f>
        <v>25.45</v>
      </c>
      <c r="C183" s="181">
        <f t="shared" si="17"/>
        <v>19.875</v>
      </c>
      <c r="D183" s="181">
        <f t="shared" si="18"/>
        <v>14.3</v>
      </c>
      <c r="E183" s="181">
        <v>12.725</v>
      </c>
      <c r="F183" s="181">
        <v>7.15</v>
      </c>
      <c r="G183" s="181">
        <v>4.55</v>
      </c>
      <c r="H183" s="181">
        <v>9.9250000000000007</v>
      </c>
      <c r="I183" s="181">
        <v>3.59</v>
      </c>
      <c r="J183" s="181">
        <v>4.62</v>
      </c>
      <c r="K183" s="181">
        <v>7.27</v>
      </c>
      <c r="L183" s="181">
        <v>12.22</v>
      </c>
      <c r="M183" s="181">
        <v>5.33</v>
      </c>
      <c r="N183" s="181">
        <v>5.33</v>
      </c>
      <c r="O183" s="181">
        <v>8.41</v>
      </c>
      <c r="P183" s="181">
        <v>8.41</v>
      </c>
      <c r="Q183" s="181">
        <v>8.41</v>
      </c>
      <c r="R183" s="181">
        <v>12.315</v>
      </c>
      <c r="S183" s="181">
        <v>12.315</v>
      </c>
      <c r="T183" s="181">
        <v>12.315</v>
      </c>
      <c r="U183" s="181">
        <v>14.53</v>
      </c>
      <c r="V183" s="181">
        <v>14.53</v>
      </c>
      <c r="W183" s="181">
        <v>14.53</v>
      </c>
      <c r="X183" s="181">
        <v>19.529999999999998</v>
      </c>
      <c r="Y183" s="181">
        <v>21.35</v>
      </c>
      <c r="BU183" s="173"/>
      <c r="BV183" s="173"/>
      <c r="BW183" s="173"/>
      <c r="BX183" s="173"/>
      <c r="BY183" s="173"/>
      <c r="BZ183" s="173"/>
      <c r="CA183" s="173"/>
      <c r="CB183" s="173"/>
      <c r="CC183" s="173"/>
      <c r="CD183" s="173"/>
      <c r="CE183" s="173"/>
      <c r="CF183" s="173"/>
      <c r="CG183" s="173"/>
      <c r="CH183" s="173"/>
      <c r="CI183" s="173"/>
      <c r="CJ183" s="173"/>
      <c r="CK183" s="173"/>
      <c r="CL183" s="173"/>
    </row>
    <row r="184" spans="1:90" s="181" customFormat="1">
      <c r="A184" s="181">
        <v>2</v>
      </c>
      <c r="B184" s="181">
        <f>2*E184</f>
        <v>25</v>
      </c>
      <c r="C184" s="181">
        <f t="shared" si="17"/>
        <v>19.5</v>
      </c>
      <c r="D184" s="181">
        <f t="shared" si="18"/>
        <v>14</v>
      </c>
      <c r="E184" s="181">
        <v>12.5</v>
      </c>
      <c r="F184" s="181">
        <v>7</v>
      </c>
      <c r="G184" s="181">
        <v>4.5</v>
      </c>
      <c r="H184" s="181">
        <v>9.8000000000000007</v>
      </c>
      <c r="I184" s="181">
        <v>3.49</v>
      </c>
      <c r="J184" s="181">
        <v>4.4800000000000004</v>
      </c>
      <c r="K184" s="181">
        <v>7.24</v>
      </c>
      <c r="L184" s="181">
        <v>12.04</v>
      </c>
      <c r="M184" s="181">
        <v>5.5</v>
      </c>
      <c r="N184" s="181">
        <v>5.5</v>
      </c>
      <c r="O184" s="181">
        <v>8.9</v>
      </c>
      <c r="P184" s="181">
        <v>8.9</v>
      </c>
      <c r="Q184" s="181">
        <v>8.9</v>
      </c>
      <c r="R184" s="181">
        <v>12.8</v>
      </c>
      <c r="S184" s="181">
        <v>12.8</v>
      </c>
      <c r="T184" s="181">
        <v>12.8</v>
      </c>
      <c r="U184" s="181">
        <v>15</v>
      </c>
      <c r="V184" s="181">
        <v>15</v>
      </c>
      <c r="W184" s="181">
        <v>15</v>
      </c>
      <c r="X184" s="181">
        <v>20</v>
      </c>
      <c r="Y184" s="181">
        <v>21.7</v>
      </c>
      <c r="BU184" s="173"/>
      <c r="BV184" s="173"/>
      <c r="BW184" s="173"/>
      <c r="BX184" s="173"/>
      <c r="BY184" s="173"/>
      <c r="BZ184" s="173"/>
      <c r="CA184" s="173"/>
      <c r="CB184" s="173"/>
      <c r="CC184" s="173"/>
      <c r="CD184" s="173"/>
      <c r="CE184" s="173"/>
      <c r="CF184" s="173"/>
      <c r="CG184" s="173"/>
      <c r="CH184" s="173"/>
      <c r="CI184" s="173"/>
      <c r="CJ184" s="173"/>
      <c r="CK184" s="173"/>
      <c r="CL184" s="173"/>
    </row>
    <row r="185" spans="1:90" s="181" customFormat="1">
      <c r="A185" s="181">
        <v>7</v>
      </c>
      <c r="B185" s="181">
        <f t="shared" ref="B185:B186" si="19">2*E185</f>
        <v>32</v>
      </c>
      <c r="C185" s="181">
        <f t="shared" si="17"/>
        <v>25</v>
      </c>
      <c r="D185" s="181">
        <f t="shared" si="18"/>
        <v>18</v>
      </c>
      <c r="E185" s="181">
        <v>16</v>
      </c>
      <c r="F185" s="181">
        <v>9</v>
      </c>
      <c r="G185" s="181">
        <v>5</v>
      </c>
      <c r="H185" s="181">
        <v>12</v>
      </c>
      <c r="I185" s="181">
        <v>4.2</v>
      </c>
      <c r="J185" s="181">
        <v>5.4</v>
      </c>
      <c r="K185" s="181">
        <v>8.6</v>
      </c>
      <c r="L185" s="181">
        <v>15.3</v>
      </c>
      <c r="M185" s="181">
        <v>7</v>
      </c>
      <c r="N185" s="181">
        <v>7</v>
      </c>
      <c r="O185" s="181">
        <v>11</v>
      </c>
      <c r="P185" s="181">
        <v>11</v>
      </c>
      <c r="Q185" s="181">
        <v>11</v>
      </c>
      <c r="R185" s="181">
        <v>15.2</v>
      </c>
      <c r="S185" s="181">
        <v>15.2</v>
      </c>
      <c r="T185" s="181">
        <v>15.2</v>
      </c>
      <c r="U185" s="181">
        <v>17.8</v>
      </c>
      <c r="V185" s="181">
        <v>17.8</v>
      </c>
      <c r="W185" s="181">
        <v>17.8</v>
      </c>
      <c r="X185" s="181">
        <v>25.5</v>
      </c>
      <c r="Y185" s="181">
        <v>32</v>
      </c>
      <c r="BU185" s="173"/>
      <c r="BV185" s="173"/>
      <c r="BW185" s="173"/>
      <c r="BX185" s="173"/>
      <c r="BY185" s="173"/>
      <c r="BZ185" s="173"/>
      <c r="CA185" s="173"/>
      <c r="CB185" s="173"/>
      <c r="CC185" s="173"/>
      <c r="CD185" s="173"/>
      <c r="CE185" s="173"/>
      <c r="CF185" s="173"/>
      <c r="CG185" s="173"/>
      <c r="CH185" s="173"/>
      <c r="CI185" s="173"/>
      <c r="CJ185" s="173"/>
      <c r="CK185" s="173"/>
      <c r="CL185" s="173"/>
    </row>
    <row r="186" spans="1:90" s="181" customFormat="1">
      <c r="A186" s="181">
        <v>15</v>
      </c>
      <c r="B186" s="181">
        <f t="shared" si="19"/>
        <v>39.380000000000003</v>
      </c>
      <c r="C186" s="181">
        <f t="shared" si="17"/>
        <v>31.05</v>
      </c>
      <c r="D186" s="181">
        <f t="shared" si="18"/>
        <v>22.72</v>
      </c>
      <c r="E186" s="181">
        <v>19.690000000000001</v>
      </c>
      <c r="F186" s="181">
        <v>11.36</v>
      </c>
      <c r="G186" s="181">
        <v>6.23</v>
      </c>
      <c r="H186" s="181">
        <v>15.32</v>
      </c>
      <c r="I186" s="181">
        <v>4.6900000000000004</v>
      </c>
      <c r="J186" s="181">
        <v>6.03</v>
      </c>
      <c r="K186" s="181">
        <v>10.050000000000001</v>
      </c>
      <c r="L186" s="181">
        <v>17.75</v>
      </c>
      <c r="M186" s="181">
        <v>8.4</v>
      </c>
      <c r="N186" s="181">
        <v>8.4</v>
      </c>
      <c r="O186" s="181">
        <v>11.9</v>
      </c>
      <c r="P186" s="181">
        <v>11.9</v>
      </c>
      <c r="Q186" s="181">
        <v>11.9</v>
      </c>
      <c r="R186" s="181">
        <v>16.48</v>
      </c>
      <c r="S186" s="181">
        <v>16.48</v>
      </c>
      <c r="T186" s="181">
        <v>16.48</v>
      </c>
      <c r="U186" s="181">
        <v>18.600000000000001</v>
      </c>
      <c r="V186" s="181">
        <v>18.600000000000001</v>
      </c>
      <c r="W186" s="181">
        <v>18.600000000000001</v>
      </c>
      <c r="X186" s="181">
        <v>27.1</v>
      </c>
      <c r="Y186" s="181">
        <v>34.700000000000003</v>
      </c>
      <c r="BU186" s="173"/>
      <c r="BV186" s="173"/>
      <c r="BW186" s="173"/>
      <c r="BX186" s="173"/>
      <c r="BY186" s="173"/>
      <c r="BZ186" s="173"/>
      <c r="CA186" s="173"/>
      <c r="CB186" s="173"/>
      <c r="CC186" s="173"/>
      <c r="CD186" s="173"/>
      <c r="CE186" s="173"/>
      <c r="CF186" s="173"/>
      <c r="CG186" s="173"/>
      <c r="CH186" s="173"/>
      <c r="CI186" s="173"/>
      <c r="CJ186" s="173"/>
      <c r="CK186" s="173"/>
      <c r="CL186" s="173"/>
    </row>
    <row r="187" spans="1:90" s="181" customFormat="1">
      <c r="A187" s="181" t="s">
        <v>229</v>
      </c>
      <c r="B187" s="181">
        <f>(B182/$E$14)</f>
        <v>4.0074270158444731</v>
      </c>
      <c r="C187" s="181">
        <f t="shared" ref="C187:D187" si="20">(C182/$E$14)</f>
        <v>3.1332199641255056</v>
      </c>
      <c r="D187" s="181">
        <f t="shared" si="20"/>
        <v>2.2590129124065372</v>
      </c>
      <c r="E187" s="181">
        <f>(E182/$E$14)</f>
        <v>2.0037135079222366</v>
      </c>
      <c r="F187" s="181">
        <f>(G182/$E$14)</f>
        <v>0.7117437943198679</v>
      </c>
      <c r="G187" s="181">
        <f>(F182/$E$14)</f>
        <v>1.1295064562032686</v>
      </c>
      <c r="H187" s="181">
        <f t="shared" ref="H187" si="21">(H182/$E$14)</f>
        <v>1.5550054636771029</v>
      </c>
      <c r="I187" s="181">
        <f>(I182/$E$14)</f>
        <v>0.56939503545589432</v>
      </c>
      <c r="J187" s="181">
        <f>(J182/$E$14)</f>
        <v>0.73340556197308138</v>
      </c>
      <c r="K187" s="181">
        <f>(K182/$E$14)</f>
        <v>1.1279591870851819</v>
      </c>
      <c r="L187" s="181">
        <f>(L182/$E$14)</f>
        <v>1.9170664373093835</v>
      </c>
      <c r="M187" s="181">
        <f t="shared" ref="M187:Y187" si="22">(M182/$E$14)</f>
        <v>0.79839086493272149</v>
      </c>
      <c r="N187" s="181">
        <f t="shared" si="22"/>
        <v>0.79839086493272149</v>
      </c>
      <c r="O187" s="181">
        <f t="shared" si="22"/>
        <v>1.2254371415246421</v>
      </c>
      <c r="P187" s="181">
        <f t="shared" si="22"/>
        <v>1.2254371415246421</v>
      </c>
      <c r="Q187" s="181">
        <f t="shared" si="22"/>
        <v>1.2254371415246421</v>
      </c>
      <c r="R187" s="181">
        <f t="shared" si="22"/>
        <v>1.8304193666965298</v>
      </c>
      <c r="S187" s="181">
        <f t="shared" si="22"/>
        <v>1.8304193666965298</v>
      </c>
      <c r="T187" s="181">
        <f t="shared" si="22"/>
        <v>1.8304193666965298</v>
      </c>
      <c r="U187" s="181">
        <f t="shared" si="22"/>
        <v>2.1754603800298571</v>
      </c>
      <c r="V187" s="181">
        <f t="shared" si="22"/>
        <v>2.1754603800298571</v>
      </c>
      <c r="W187" s="181">
        <f t="shared" si="22"/>
        <v>2.1754603800298571</v>
      </c>
      <c r="X187" s="181">
        <f t="shared" si="22"/>
        <v>2.9490949390731918</v>
      </c>
      <c r="Y187" s="181">
        <f t="shared" si="22"/>
        <v>3.2492651479820056</v>
      </c>
      <c r="BU187" s="173"/>
      <c r="BV187" s="173"/>
      <c r="BW187" s="173"/>
      <c r="BX187" s="173"/>
      <c r="BY187" s="173"/>
      <c r="BZ187" s="173"/>
      <c r="CA187" s="173"/>
      <c r="CB187" s="173"/>
      <c r="CC187" s="173"/>
      <c r="CD187" s="173"/>
      <c r="CE187" s="173"/>
      <c r="CF187" s="173"/>
      <c r="CG187" s="173"/>
      <c r="CH187" s="173"/>
      <c r="CI187" s="173"/>
      <c r="CJ187" s="173"/>
      <c r="CK187" s="173"/>
      <c r="CL187" s="173"/>
    </row>
    <row r="188" spans="1:90" s="181" customFormat="1">
      <c r="BU188" s="173"/>
      <c r="BV188" s="173"/>
      <c r="BW188" s="173"/>
      <c r="BX188" s="173"/>
      <c r="BY188" s="173"/>
      <c r="BZ188" s="173"/>
      <c r="CA188" s="173"/>
      <c r="CB188" s="173"/>
      <c r="CC188" s="173"/>
      <c r="CD188" s="173"/>
      <c r="CE188" s="173"/>
      <c r="CF188" s="173"/>
      <c r="CG188" s="173"/>
      <c r="CH188" s="173"/>
      <c r="CI188" s="173"/>
      <c r="CJ188" s="173"/>
      <c r="CK188" s="173"/>
      <c r="CL188" s="173"/>
    </row>
    <row r="189" spans="1:90" s="181" customFormat="1">
      <c r="BU189" s="173"/>
      <c r="BV189" s="173"/>
      <c r="BW189" s="173"/>
      <c r="BX189" s="173"/>
      <c r="BY189" s="173"/>
      <c r="BZ189" s="173"/>
      <c r="CA189" s="173"/>
      <c r="CB189" s="173"/>
      <c r="CC189" s="173"/>
      <c r="CD189" s="173"/>
      <c r="CE189" s="173"/>
      <c r="CF189" s="173"/>
      <c r="CG189" s="173"/>
      <c r="CH189" s="173"/>
      <c r="CI189" s="173"/>
      <c r="CJ189" s="173"/>
      <c r="CK189" s="173"/>
      <c r="CL189" s="173"/>
    </row>
    <row r="190" spans="1:90" s="181" customFormat="1">
      <c r="BU190" s="173"/>
      <c r="BV190" s="173"/>
      <c r="BW190" s="173"/>
      <c r="BX190" s="173"/>
      <c r="BY190" s="173"/>
      <c r="BZ190" s="173"/>
      <c r="CA190" s="173"/>
      <c r="CB190" s="173"/>
      <c r="CC190" s="173"/>
      <c r="CD190" s="173"/>
      <c r="CE190" s="173"/>
      <c r="CF190" s="173"/>
      <c r="CG190" s="173"/>
      <c r="CH190" s="173"/>
      <c r="CI190" s="173"/>
      <c r="CJ190" s="173"/>
      <c r="CK190" s="173"/>
      <c r="CL190" s="173"/>
    </row>
    <row r="191" spans="1:90" s="181" customFormat="1">
      <c r="A191" s="181" t="s">
        <v>1152</v>
      </c>
      <c r="E191" s="181" t="s">
        <v>1153</v>
      </c>
      <c r="I191" s="181" t="s">
        <v>1154</v>
      </c>
      <c r="M191" s="181" t="s">
        <v>1155</v>
      </c>
      <c r="BU191" s="173"/>
      <c r="BV191" s="173"/>
      <c r="BW191" s="173"/>
      <c r="BX191" s="173"/>
      <c r="BY191" s="173"/>
      <c r="BZ191" s="173"/>
      <c r="CA191" s="173"/>
      <c r="CB191" s="173"/>
      <c r="CC191" s="173"/>
      <c r="CD191" s="173"/>
      <c r="CE191" s="173"/>
      <c r="CF191" s="173"/>
      <c r="CG191" s="173"/>
      <c r="CH191" s="173"/>
      <c r="CI191" s="173"/>
      <c r="CJ191" s="173"/>
      <c r="CK191" s="173"/>
      <c r="CL191" s="173"/>
    </row>
    <row r="192" spans="1:90" s="181" customFormat="1">
      <c r="A192" s="181" t="s">
        <v>11</v>
      </c>
      <c r="B192" s="181" t="s">
        <v>1136</v>
      </c>
      <c r="C192" s="181" t="s">
        <v>1140</v>
      </c>
      <c r="E192" s="181" t="s">
        <v>11</v>
      </c>
      <c r="F192" s="181" t="s">
        <v>1136</v>
      </c>
      <c r="G192" s="181" t="s">
        <v>1140</v>
      </c>
      <c r="I192" s="181" t="s">
        <v>11</v>
      </c>
      <c r="J192" s="181" t="s">
        <v>1136</v>
      </c>
      <c r="K192" s="181" t="s">
        <v>1140</v>
      </c>
      <c r="M192" s="181" t="s">
        <v>11</v>
      </c>
      <c r="N192" s="181" t="s">
        <v>1136</v>
      </c>
      <c r="O192" s="181" t="s">
        <v>1140</v>
      </c>
      <c r="BU192" s="173"/>
      <c r="BV192" s="173"/>
      <c r="BW192" s="173"/>
      <c r="BX192" s="173"/>
      <c r="BY192" s="173"/>
      <c r="BZ192" s="173"/>
      <c r="CA192" s="173"/>
      <c r="CB192" s="173"/>
      <c r="CC192" s="173"/>
      <c r="CD192" s="173"/>
      <c r="CE192" s="173"/>
      <c r="CF192" s="173"/>
      <c r="CG192" s="173"/>
      <c r="CH192" s="173"/>
      <c r="CI192" s="173"/>
      <c r="CJ192" s="173"/>
      <c r="CK192" s="173"/>
      <c r="CL192" s="173"/>
    </row>
    <row r="193" spans="1:95" s="181" customFormat="1">
      <c r="A193" s="181">
        <v>-10</v>
      </c>
      <c r="B193" s="181">
        <v>12.22</v>
      </c>
      <c r="C193" s="181">
        <v>15.87</v>
      </c>
      <c r="E193" s="181">
        <v>-10</v>
      </c>
      <c r="F193" s="181">
        <v>12.16</v>
      </c>
      <c r="G193" s="181">
        <v>15.58</v>
      </c>
      <c r="I193" s="181">
        <v>-10</v>
      </c>
      <c r="J193" s="181">
        <v>12.1</v>
      </c>
      <c r="K193" s="181">
        <v>15.3</v>
      </c>
      <c r="M193" s="181">
        <v>-10</v>
      </c>
      <c r="N193" s="181">
        <v>11.81</v>
      </c>
      <c r="O193" s="181">
        <v>15.17</v>
      </c>
      <c r="BU193" s="173"/>
      <c r="BV193" s="173"/>
      <c r="BW193" s="173"/>
      <c r="BX193" s="173"/>
      <c r="BY193" s="173"/>
      <c r="BZ193" s="173"/>
      <c r="CA193" s="173"/>
      <c r="CB193" s="173"/>
      <c r="CC193" s="173"/>
      <c r="CD193" s="173"/>
      <c r="CE193" s="173"/>
      <c r="CF193" s="173"/>
      <c r="CG193" s="173"/>
      <c r="CH193" s="173"/>
      <c r="CI193" s="173"/>
      <c r="CJ193" s="173"/>
      <c r="CK193" s="173"/>
      <c r="CL193" s="173"/>
    </row>
    <row r="194" spans="1:95" s="181" customFormat="1">
      <c r="A194" s="181">
        <v>-7</v>
      </c>
      <c r="B194" s="181">
        <v>12.5</v>
      </c>
      <c r="C194" s="181">
        <v>16.100000000000001</v>
      </c>
      <c r="E194" s="181">
        <v>-7</v>
      </c>
      <c r="F194" s="181">
        <v>12.5</v>
      </c>
      <c r="G194" s="181">
        <v>16.05</v>
      </c>
      <c r="I194" s="181">
        <v>-7</v>
      </c>
      <c r="J194" s="181">
        <v>12.5</v>
      </c>
      <c r="K194" s="181">
        <v>16</v>
      </c>
      <c r="M194" s="181">
        <v>-7</v>
      </c>
      <c r="N194" s="181">
        <v>12.37</v>
      </c>
      <c r="O194" s="181">
        <v>15.44</v>
      </c>
      <c r="BU194" s="173"/>
      <c r="BV194" s="173"/>
      <c r="BW194" s="173"/>
      <c r="BX194" s="173"/>
      <c r="BY194" s="173"/>
      <c r="BZ194" s="173"/>
      <c r="CA194" s="173"/>
      <c r="CB194" s="173"/>
      <c r="CC194" s="173"/>
      <c r="CD194" s="173"/>
      <c r="CE194" s="173"/>
      <c r="CF194" s="173"/>
      <c r="CG194" s="173"/>
      <c r="CH194" s="173"/>
      <c r="CI194" s="173"/>
      <c r="CJ194" s="173"/>
      <c r="CK194" s="173"/>
      <c r="CL194" s="173"/>
    </row>
    <row r="195" spans="1:95" s="181" customFormat="1">
      <c r="A195" s="181">
        <v>-2</v>
      </c>
      <c r="B195" s="181">
        <v>13.06</v>
      </c>
      <c r="C195" s="181">
        <v>16.21</v>
      </c>
      <c r="E195" s="181">
        <v>-2</v>
      </c>
      <c r="F195" s="181">
        <v>12.9</v>
      </c>
      <c r="G195" s="181">
        <v>16.38</v>
      </c>
      <c r="I195" s="181">
        <v>-2</v>
      </c>
      <c r="J195" s="181">
        <v>12.74</v>
      </c>
      <c r="K195" s="181">
        <v>16.559999999999999</v>
      </c>
      <c r="M195" s="181">
        <v>-2</v>
      </c>
      <c r="N195" s="181">
        <v>12.54</v>
      </c>
      <c r="O195" s="181">
        <v>15.94</v>
      </c>
      <c r="BU195" s="173"/>
      <c r="BV195" s="173"/>
      <c r="BW195" s="173"/>
      <c r="BX195" s="173"/>
      <c r="BY195" s="173"/>
      <c r="BZ195" s="173"/>
      <c r="CA195" s="173"/>
      <c r="CB195" s="173"/>
      <c r="CC195" s="173"/>
      <c r="CD195" s="173"/>
      <c r="CE195" s="173"/>
      <c r="CF195" s="173"/>
      <c r="CG195" s="173"/>
      <c r="CH195" s="173"/>
      <c r="CI195" s="173"/>
      <c r="CJ195" s="173"/>
      <c r="CK195" s="173"/>
      <c r="CL195" s="173"/>
    </row>
    <row r="196" spans="1:95" s="181" customFormat="1">
      <c r="A196" s="181">
        <v>0</v>
      </c>
      <c r="B196" s="181">
        <v>13.35</v>
      </c>
      <c r="C196" s="181">
        <v>16.255000000000003</v>
      </c>
      <c r="E196" s="181">
        <v>0</v>
      </c>
      <c r="F196" s="181">
        <v>13.06</v>
      </c>
      <c r="G196" s="181">
        <v>16.514999999999997</v>
      </c>
      <c r="I196" s="181">
        <v>0</v>
      </c>
      <c r="J196" s="181">
        <v>12.84</v>
      </c>
      <c r="K196" s="181">
        <v>16.779999999999998</v>
      </c>
      <c r="M196" s="181">
        <v>0</v>
      </c>
      <c r="N196" s="181">
        <v>12.61</v>
      </c>
      <c r="O196" s="181">
        <v>16.134999999999998</v>
      </c>
      <c r="BU196" s="173"/>
      <c r="BV196" s="173"/>
      <c r="BW196" s="173"/>
      <c r="BX196" s="173"/>
      <c r="BY196" s="173"/>
      <c r="BZ196" s="173"/>
      <c r="CA196" s="173"/>
      <c r="CB196" s="173"/>
      <c r="CC196" s="173"/>
      <c r="CD196" s="173"/>
      <c r="CE196" s="173"/>
      <c r="CF196" s="173"/>
      <c r="CG196" s="173"/>
      <c r="CH196" s="173"/>
      <c r="CI196" s="173"/>
      <c r="CJ196" s="173"/>
      <c r="CK196" s="173"/>
      <c r="CL196" s="173"/>
    </row>
    <row r="197" spans="1:95" s="181" customFormat="1">
      <c r="A197" s="181">
        <v>2</v>
      </c>
      <c r="B197" s="181">
        <v>13.64</v>
      </c>
      <c r="C197" s="181">
        <v>16.3</v>
      </c>
      <c r="E197" s="181">
        <v>2</v>
      </c>
      <c r="F197" s="181">
        <v>13.22</v>
      </c>
      <c r="G197" s="181">
        <v>16.649999999999999</v>
      </c>
      <c r="I197" s="181">
        <v>2</v>
      </c>
      <c r="J197" s="181">
        <v>12.94</v>
      </c>
      <c r="K197" s="181">
        <v>17</v>
      </c>
      <c r="M197" s="181">
        <v>2</v>
      </c>
      <c r="N197" s="181">
        <v>12.68</v>
      </c>
      <c r="O197" s="181">
        <v>16.329999999999998</v>
      </c>
      <c r="BU197" s="173"/>
      <c r="BV197" s="173"/>
      <c r="BW197" s="173"/>
      <c r="BX197" s="173"/>
      <c r="BY197" s="173"/>
      <c r="BZ197" s="173"/>
      <c r="CA197" s="173"/>
      <c r="CB197" s="173"/>
      <c r="CC197" s="173"/>
      <c r="CD197" s="173"/>
      <c r="CE197" s="173"/>
      <c r="CF197" s="173"/>
      <c r="CG197" s="173"/>
      <c r="CH197" s="173"/>
      <c r="CI197" s="173"/>
      <c r="CJ197" s="173"/>
      <c r="CK197" s="173"/>
      <c r="CL197" s="173"/>
    </row>
    <row r="198" spans="1:95" s="173" customFormat="1">
      <c r="A198" s="181">
        <v>7</v>
      </c>
      <c r="B198" s="181">
        <v>14.49</v>
      </c>
      <c r="C198" s="181">
        <v>17.920000000000002</v>
      </c>
      <c r="D198" s="181"/>
      <c r="E198" s="181">
        <v>7</v>
      </c>
      <c r="F198" s="181">
        <v>14.49</v>
      </c>
      <c r="G198" s="181">
        <v>17.920000000000002</v>
      </c>
      <c r="H198" s="181"/>
      <c r="I198" s="181">
        <v>7</v>
      </c>
      <c r="J198" s="181">
        <v>14.49</v>
      </c>
      <c r="K198" s="181">
        <v>17.920000000000002</v>
      </c>
      <c r="L198" s="181"/>
      <c r="M198" s="181">
        <v>7</v>
      </c>
      <c r="N198" s="181">
        <v>14.27</v>
      </c>
      <c r="O198" s="181">
        <v>17.5</v>
      </c>
      <c r="P198" s="181"/>
      <c r="Q198" s="181"/>
      <c r="R198" s="181"/>
      <c r="S198" s="181"/>
      <c r="T198" s="181"/>
      <c r="U198" s="181"/>
      <c r="V198" s="181"/>
      <c r="W198" s="181"/>
      <c r="X198" s="181"/>
      <c r="Y198" s="181"/>
      <c r="Z198" s="181"/>
      <c r="AA198" s="181"/>
      <c r="AB198" s="181"/>
      <c r="AC198" s="181"/>
      <c r="AD198" s="181"/>
      <c r="AE198" s="181"/>
      <c r="AF198" s="181"/>
      <c r="AG198" s="181"/>
      <c r="AH198" s="181"/>
      <c r="AI198" s="181"/>
      <c r="AJ198" s="181"/>
      <c r="AK198" s="181"/>
      <c r="AL198" s="181"/>
      <c r="AM198" s="181"/>
      <c r="AN198" s="181"/>
      <c r="AO198" s="181"/>
      <c r="AP198" s="181"/>
      <c r="AQ198" s="181"/>
      <c r="AR198" s="181"/>
      <c r="AS198" s="181"/>
      <c r="AT198" s="181"/>
      <c r="AU198" s="181"/>
      <c r="AV198" s="181"/>
      <c r="AW198" s="181"/>
      <c r="AX198" s="181"/>
      <c r="AY198" s="181"/>
      <c r="AZ198" s="181"/>
      <c r="BA198" s="181"/>
      <c r="BB198" s="181"/>
      <c r="BC198" s="181"/>
      <c r="BD198" s="181"/>
      <c r="BE198" s="181"/>
      <c r="BF198" s="181"/>
      <c r="BG198" s="181"/>
      <c r="BH198" s="181"/>
      <c r="BI198" s="181"/>
      <c r="BJ198" s="181"/>
      <c r="BK198" s="181"/>
      <c r="BL198" s="181"/>
      <c r="BM198" s="181"/>
      <c r="BN198" s="181"/>
      <c r="BO198" s="181"/>
      <c r="BP198" s="181"/>
      <c r="BQ198" s="181"/>
      <c r="BR198" s="181"/>
      <c r="BS198" s="181"/>
      <c r="BT198" s="181"/>
      <c r="CM198" s="181"/>
      <c r="CN198" s="181"/>
      <c r="CO198" s="181"/>
      <c r="CP198" s="181"/>
      <c r="CQ198" s="181"/>
    </row>
    <row r="199" spans="1:95" s="173" customFormat="1">
      <c r="A199" s="181">
        <v>15</v>
      </c>
      <c r="B199" s="181">
        <v>15.3</v>
      </c>
      <c r="C199" s="181">
        <v>19.649999999999999</v>
      </c>
      <c r="D199" s="181"/>
      <c r="E199" s="181">
        <v>15</v>
      </c>
      <c r="F199" s="181">
        <v>15.31</v>
      </c>
      <c r="G199" s="181">
        <v>19.09</v>
      </c>
      <c r="H199" s="181"/>
      <c r="I199" s="181">
        <v>15</v>
      </c>
      <c r="J199" s="181">
        <v>15.31</v>
      </c>
      <c r="K199" s="181">
        <v>18.53</v>
      </c>
      <c r="L199" s="181"/>
      <c r="M199" s="181">
        <v>15</v>
      </c>
      <c r="N199" s="181">
        <v>15.26</v>
      </c>
      <c r="O199" s="181">
        <v>18.5</v>
      </c>
      <c r="P199" s="181"/>
      <c r="Q199" s="181"/>
      <c r="R199" s="181"/>
      <c r="S199" s="181"/>
      <c r="T199" s="181"/>
      <c r="U199" s="181"/>
      <c r="V199" s="181"/>
      <c r="W199" s="181"/>
      <c r="X199" s="181"/>
      <c r="Y199" s="181"/>
      <c r="Z199" s="181"/>
      <c r="AA199" s="181"/>
      <c r="AB199" s="181"/>
      <c r="AC199" s="181"/>
      <c r="AD199" s="181"/>
      <c r="AE199" s="181"/>
      <c r="AF199" s="181"/>
      <c r="AG199" s="181"/>
      <c r="AH199" s="181"/>
      <c r="AI199" s="181"/>
      <c r="AJ199" s="181"/>
      <c r="AK199" s="181"/>
      <c r="AL199" s="181"/>
      <c r="AM199" s="181"/>
      <c r="AN199" s="181"/>
      <c r="AO199" s="181"/>
      <c r="AP199" s="181"/>
      <c r="AQ199" s="181"/>
      <c r="AR199" s="181"/>
      <c r="AS199" s="181"/>
      <c r="AT199" s="181"/>
      <c r="AU199" s="181"/>
      <c r="AV199" s="181"/>
      <c r="AW199" s="181"/>
      <c r="AX199" s="181"/>
      <c r="AY199" s="181"/>
      <c r="AZ199" s="181"/>
      <c r="BA199" s="181"/>
      <c r="BB199" s="181"/>
      <c r="BC199" s="181"/>
      <c r="BD199" s="181"/>
      <c r="BE199" s="181"/>
      <c r="BF199" s="181"/>
      <c r="BG199" s="181"/>
      <c r="BH199" s="181"/>
      <c r="BI199" s="181"/>
      <c r="BJ199" s="181"/>
      <c r="BK199" s="181"/>
      <c r="BL199" s="181"/>
      <c r="BM199" s="181"/>
      <c r="BN199" s="181"/>
      <c r="BO199" s="181"/>
      <c r="BP199" s="181"/>
      <c r="BQ199" s="181"/>
      <c r="BR199" s="181"/>
      <c r="BS199" s="181"/>
      <c r="BT199" s="181"/>
      <c r="CM199" s="181"/>
      <c r="CN199" s="181"/>
      <c r="CO199" s="181"/>
      <c r="CP199" s="181"/>
      <c r="CQ199" s="181"/>
    </row>
    <row r="200" spans="1:95" s="173" customFormat="1">
      <c r="A200" s="181"/>
      <c r="B200" s="181"/>
      <c r="C200" s="181"/>
      <c r="D200" s="181"/>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1"/>
      <c r="AB200" s="181"/>
      <c r="AC200" s="181"/>
      <c r="AD200" s="181"/>
      <c r="AE200" s="181"/>
      <c r="AF200" s="181"/>
      <c r="AG200" s="181"/>
      <c r="AH200" s="181"/>
      <c r="AI200" s="181"/>
      <c r="AJ200" s="181"/>
      <c r="AK200" s="181"/>
      <c r="AL200" s="181"/>
      <c r="AM200" s="181"/>
      <c r="AN200" s="181"/>
      <c r="AO200" s="181"/>
      <c r="AP200" s="181"/>
      <c r="AQ200" s="181"/>
      <c r="AR200" s="181"/>
      <c r="AS200" s="181"/>
      <c r="AT200" s="181"/>
      <c r="AU200" s="181"/>
      <c r="AV200" s="181"/>
      <c r="AW200" s="181"/>
      <c r="AX200" s="181"/>
      <c r="AY200" s="181"/>
      <c r="AZ200" s="181"/>
      <c r="BA200" s="181"/>
      <c r="BB200" s="181"/>
      <c r="BC200" s="181"/>
      <c r="BD200" s="181"/>
      <c r="BE200" s="181"/>
      <c r="BF200" s="181"/>
      <c r="BG200" s="181"/>
      <c r="BH200" s="181"/>
      <c r="BI200" s="181"/>
      <c r="BJ200" s="181"/>
      <c r="BK200" s="181"/>
      <c r="BL200" s="181"/>
      <c r="BM200" s="181"/>
      <c r="BN200" s="181"/>
      <c r="BO200" s="181"/>
      <c r="BP200" s="181"/>
      <c r="BQ200" s="181"/>
      <c r="BR200" s="181"/>
      <c r="BS200" s="181"/>
      <c r="BT200" s="181"/>
      <c r="CM200" s="181"/>
      <c r="CN200" s="181"/>
      <c r="CO200" s="181"/>
      <c r="CP200" s="181"/>
      <c r="CQ200" s="181"/>
    </row>
    <row r="201" spans="1:95" s="173" customFormat="1">
      <c r="A201" s="181"/>
      <c r="B201" s="181"/>
      <c r="C201" s="181"/>
      <c r="D201" s="181"/>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181"/>
      <c r="AC201" s="181"/>
      <c r="AD201" s="181"/>
      <c r="AE201" s="181"/>
      <c r="AF201" s="181"/>
      <c r="AG201" s="181"/>
      <c r="AH201" s="181"/>
      <c r="AI201" s="181"/>
      <c r="AJ201" s="181"/>
      <c r="AK201" s="181"/>
      <c r="AL201" s="181"/>
      <c r="AM201" s="181"/>
      <c r="AN201" s="181"/>
      <c r="AO201" s="181"/>
      <c r="AP201" s="181"/>
      <c r="AQ201" s="181"/>
      <c r="AR201" s="181"/>
      <c r="AS201" s="181"/>
      <c r="AT201" s="181"/>
      <c r="AU201" s="181"/>
      <c r="AV201" s="181"/>
      <c r="AW201" s="181"/>
      <c r="AX201" s="181"/>
      <c r="AY201" s="181"/>
      <c r="AZ201" s="181"/>
      <c r="BA201" s="181"/>
      <c r="BB201" s="181"/>
      <c r="BC201" s="181"/>
      <c r="BD201" s="181"/>
      <c r="BE201" s="181"/>
      <c r="BF201" s="181"/>
      <c r="BG201" s="181"/>
      <c r="BH201" s="181"/>
      <c r="BI201" s="181"/>
      <c r="BJ201" s="181"/>
      <c r="BK201" s="181"/>
      <c r="BL201" s="181"/>
      <c r="BM201" s="181"/>
      <c r="BN201" s="181"/>
      <c r="BO201" s="181"/>
      <c r="BP201" s="181"/>
      <c r="BQ201" s="181"/>
      <c r="BR201" s="181"/>
      <c r="BS201" s="181"/>
      <c r="BT201" s="181"/>
      <c r="CM201" s="181"/>
      <c r="CN201" s="181"/>
      <c r="CO201" s="181"/>
      <c r="CP201" s="181"/>
      <c r="CQ201" s="181"/>
    </row>
    <row r="202" spans="1:95" s="173" customFormat="1">
      <c r="A202" s="181"/>
      <c r="B202" s="181"/>
      <c r="C202" s="181"/>
      <c r="D202" s="181"/>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1"/>
      <c r="AB202" s="181"/>
      <c r="AC202" s="181"/>
      <c r="AD202" s="181"/>
      <c r="AE202" s="181"/>
      <c r="AF202" s="181"/>
      <c r="AG202" s="181"/>
      <c r="AH202" s="181"/>
      <c r="AI202" s="181"/>
      <c r="AJ202" s="181"/>
      <c r="AK202" s="181"/>
      <c r="AL202" s="181"/>
      <c r="AM202" s="181"/>
      <c r="AN202" s="181"/>
      <c r="AO202" s="181"/>
      <c r="AP202" s="181"/>
      <c r="AQ202" s="181"/>
      <c r="AR202" s="181"/>
      <c r="AS202" s="181"/>
      <c r="AT202" s="181"/>
      <c r="AU202" s="181"/>
      <c r="AV202" s="181"/>
      <c r="AW202" s="181"/>
      <c r="AX202" s="181"/>
      <c r="AY202" s="181"/>
      <c r="AZ202" s="181"/>
      <c r="BA202" s="181"/>
      <c r="BB202" s="181"/>
      <c r="BC202" s="181"/>
      <c r="BD202" s="181"/>
      <c r="BE202" s="181"/>
      <c r="BF202" s="181"/>
      <c r="BG202" s="181"/>
      <c r="BH202" s="181"/>
      <c r="BI202" s="181"/>
      <c r="BJ202" s="181"/>
      <c r="BK202" s="181"/>
      <c r="BL202" s="181"/>
      <c r="BM202" s="181"/>
      <c r="BN202" s="181"/>
      <c r="BO202" s="181"/>
      <c r="BP202" s="181"/>
      <c r="BQ202" s="181"/>
      <c r="BR202" s="181"/>
      <c r="BS202" s="181"/>
      <c r="BT202" s="181"/>
      <c r="CM202" s="181"/>
      <c r="CN202" s="181"/>
      <c r="CO202" s="181"/>
      <c r="CP202" s="181"/>
      <c r="CQ202" s="181"/>
    </row>
    <row r="203" spans="1:95" s="173" customFormat="1">
      <c r="A203" s="181"/>
      <c r="B203" s="181"/>
      <c r="C203" s="181"/>
      <c r="D203" s="181"/>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1"/>
      <c r="AB203" s="181"/>
      <c r="AC203" s="181"/>
      <c r="AD203" s="181"/>
      <c r="AE203" s="181"/>
      <c r="AF203" s="181"/>
      <c r="AG203" s="181"/>
      <c r="AH203" s="181"/>
      <c r="AI203" s="181"/>
      <c r="AJ203" s="181"/>
      <c r="AK203" s="181"/>
      <c r="AL203" s="181"/>
      <c r="AM203" s="181"/>
      <c r="AN203" s="181"/>
      <c r="AO203" s="181"/>
      <c r="AP203" s="181"/>
      <c r="AQ203" s="181"/>
      <c r="AR203" s="181"/>
      <c r="AS203" s="181"/>
      <c r="AT203" s="181"/>
      <c r="AU203" s="181"/>
      <c r="AV203" s="181"/>
      <c r="AW203" s="181"/>
      <c r="AX203" s="181"/>
      <c r="AY203" s="181"/>
      <c r="AZ203" s="181"/>
      <c r="BA203" s="181"/>
      <c r="BB203" s="181"/>
      <c r="BC203" s="181"/>
      <c r="BD203" s="181"/>
      <c r="BE203" s="181"/>
      <c r="BF203" s="181"/>
      <c r="BG203" s="181"/>
      <c r="BH203" s="181"/>
      <c r="BI203" s="181"/>
      <c r="BJ203" s="181"/>
      <c r="BK203" s="181"/>
      <c r="BL203" s="181"/>
      <c r="BM203" s="181"/>
      <c r="BN203" s="181"/>
      <c r="BO203" s="181"/>
      <c r="BP203" s="181"/>
      <c r="BQ203" s="181"/>
      <c r="BR203" s="181"/>
      <c r="BS203" s="181"/>
      <c r="BT203" s="181"/>
      <c r="CM203" s="181"/>
      <c r="CN203" s="181"/>
      <c r="CO203" s="181"/>
      <c r="CP203" s="181"/>
      <c r="CQ203" s="181"/>
    </row>
    <row r="204" spans="1:95" s="173" customFormat="1">
      <c r="A204" s="181" t="s">
        <v>1101</v>
      </c>
      <c r="B204" s="181"/>
      <c r="C204" s="181"/>
      <c r="D204" s="181"/>
      <c r="E204" s="181" t="s">
        <v>1156</v>
      </c>
      <c r="F204" s="181"/>
      <c r="G204" s="181"/>
      <c r="H204" s="181"/>
      <c r="I204" s="181" t="s">
        <v>1157</v>
      </c>
      <c r="J204" s="181"/>
      <c r="K204" s="181"/>
      <c r="L204" s="181"/>
      <c r="M204" s="181"/>
      <c r="N204" s="181"/>
      <c r="O204" s="181"/>
      <c r="P204" s="181"/>
      <c r="Q204" s="181"/>
      <c r="R204" s="181"/>
      <c r="S204" s="181"/>
      <c r="T204" s="181"/>
      <c r="U204" s="181"/>
      <c r="V204" s="181"/>
      <c r="W204" s="181"/>
      <c r="X204" s="181"/>
      <c r="Y204" s="181"/>
      <c r="Z204" s="181"/>
      <c r="AA204" s="181"/>
      <c r="AB204" s="181"/>
      <c r="AC204" s="181"/>
      <c r="AD204" s="181"/>
      <c r="AE204" s="181"/>
      <c r="AF204" s="181"/>
      <c r="AG204" s="181"/>
      <c r="AH204" s="181"/>
      <c r="AI204" s="181"/>
      <c r="AJ204" s="181"/>
      <c r="AK204" s="181"/>
      <c r="AL204" s="181"/>
      <c r="AM204" s="181"/>
      <c r="AN204" s="181"/>
      <c r="AO204" s="181"/>
      <c r="AP204" s="181"/>
      <c r="AQ204" s="181"/>
      <c r="AR204" s="181"/>
      <c r="AS204" s="181"/>
      <c r="AT204" s="181"/>
      <c r="AU204" s="181"/>
      <c r="AV204" s="181"/>
      <c r="AW204" s="181"/>
      <c r="AX204" s="181"/>
      <c r="AY204" s="181"/>
      <c r="AZ204" s="181"/>
      <c r="BA204" s="181"/>
      <c r="BB204" s="181"/>
      <c r="BC204" s="181"/>
      <c r="BD204" s="181"/>
      <c r="BE204" s="181"/>
      <c r="BF204" s="181"/>
      <c r="BG204" s="181"/>
      <c r="BH204" s="181"/>
      <c r="BI204" s="181"/>
      <c r="BJ204" s="181"/>
      <c r="BK204" s="181"/>
      <c r="BL204" s="181"/>
      <c r="BM204" s="181"/>
      <c r="BN204" s="181"/>
      <c r="BO204" s="181"/>
      <c r="BP204" s="181"/>
      <c r="BQ204" s="181"/>
      <c r="BR204" s="181"/>
      <c r="BS204" s="181"/>
      <c r="BT204" s="181"/>
      <c r="CM204" s="181"/>
      <c r="CN204" s="181"/>
      <c r="CO204" s="181"/>
      <c r="CP204" s="181"/>
      <c r="CQ204" s="181"/>
    </row>
    <row r="205" spans="1:95" s="173" customFormat="1">
      <c r="A205" s="181">
        <v>-10</v>
      </c>
      <c r="B205" s="181">
        <f>VLOOKUP(A205,$A$216:$K$224,HLOOKUP('Data Entry Sheet'!$I$28,equipment!$A$216:$K$224,2,FALSE),FALSE)</f>
        <v>6.38</v>
      </c>
      <c r="C205" s="181"/>
      <c r="D205" s="181"/>
      <c r="E205" s="181" t="s">
        <v>11</v>
      </c>
      <c r="F205" s="181" t="s">
        <v>1136</v>
      </c>
      <c r="G205" s="181" t="s">
        <v>1140</v>
      </c>
      <c r="H205" s="181"/>
      <c r="I205" s="181" t="s">
        <v>11</v>
      </c>
      <c r="J205" s="181" t="s">
        <v>1136</v>
      </c>
      <c r="K205" s="181" t="s">
        <v>1140</v>
      </c>
      <c r="L205" s="181"/>
      <c r="M205" s="181"/>
      <c r="N205" s="181"/>
      <c r="O205" s="181"/>
      <c r="P205" s="181"/>
      <c r="Q205" s="181"/>
      <c r="R205" s="181"/>
      <c r="S205" s="181"/>
      <c r="T205" s="181"/>
      <c r="U205" s="181"/>
      <c r="V205" s="181"/>
      <c r="W205" s="181"/>
      <c r="X205" s="181"/>
      <c r="Y205" s="181"/>
      <c r="Z205" s="181"/>
      <c r="AA205" s="181"/>
      <c r="AB205" s="181"/>
      <c r="AC205" s="181"/>
      <c r="AD205" s="181"/>
      <c r="AE205" s="181"/>
      <c r="AF205" s="181"/>
      <c r="AG205" s="181"/>
      <c r="AH205" s="181"/>
      <c r="AI205" s="181"/>
      <c r="AJ205" s="181"/>
      <c r="AK205" s="181"/>
      <c r="AL205" s="181"/>
      <c r="AM205" s="181"/>
      <c r="AN205" s="181"/>
      <c r="AO205" s="181"/>
      <c r="AP205" s="181"/>
      <c r="AQ205" s="181"/>
      <c r="AR205" s="181"/>
      <c r="AS205" s="181"/>
      <c r="AT205" s="181"/>
      <c r="AU205" s="181"/>
      <c r="AV205" s="181"/>
      <c r="AW205" s="181"/>
      <c r="AX205" s="181"/>
      <c r="AY205" s="181"/>
      <c r="AZ205" s="181"/>
      <c r="BA205" s="181"/>
      <c r="BB205" s="181"/>
      <c r="BC205" s="181"/>
      <c r="BD205" s="181"/>
      <c r="BE205" s="181"/>
      <c r="BF205" s="181"/>
      <c r="BG205" s="181"/>
      <c r="BH205" s="181"/>
      <c r="BI205" s="181"/>
      <c r="BJ205" s="181"/>
      <c r="BK205" s="181"/>
      <c r="BL205" s="181"/>
      <c r="BM205" s="181"/>
      <c r="BN205" s="181"/>
      <c r="BO205" s="181"/>
      <c r="BP205" s="181"/>
      <c r="BQ205" s="181"/>
      <c r="BR205" s="181"/>
      <c r="BS205" s="181"/>
      <c r="BT205" s="181"/>
      <c r="CM205" s="181"/>
      <c r="CN205" s="181"/>
      <c r="CO205" s="181"/>
      <c r="CP205" s="181"/>
      <c r="CQ205" s="181"/>
    </row>
    <row r="206" spans="1:95" s="173" customFormat="1">
      <c r="A206" s="181">
        <v>-7</v>
      </c>
      <c r="B206" s="181">
        <f>VLOOKUP(A206,$A$216:$K$224,HLOOKUP('Data Entry Sheet'!$I$28,equipment!$A$216:$K$224,2,FALSE),FALSE)</f>
        <v>6.53</v>
      </c>
      <c r="C206" s="181"/>
      <c r="D206" s="181"/>
      <c r="E206" s="181">
        <v>-10</v>
      </c>
      <c r="F206" s="181">
        <v>11.23</v>
      </c>
      <c r="G206" s="181">
        <v>14.9</v>
      </c>
      <c r="H206" s="181"/>
      <c r="I206" s="181">
        <v>-10</v>
      </c>
      <c r="J206" s="181">
        <v>10.8</v>
      </c>
      <c r="K206" s="181">
        <v>14.7</v>
      </c>
      <c r="L206" s="181"/>
      <c r="M206" s="181"/>
      <c r="N206" s="181"/>
      <c r="O206" s="181"/>
      <c r="P206" s="181"/>
      <c r="Q206" s="181"/>
      <c r="R206" s="181"/>
      <c r="S206" s="181"/>
      <c r="T206" s="181"/>
      <c r="U206" s="181"/>
      <c r="V206" s="181"/>
      <c r="W206" s="181"/>
      <c r="X206" s="181"/>
      <c r="Y206" s="181"/>
      <c r="Z206" s="181"/>
      <c r="AA206" s="181"/>
      <c r="AB206" s="181"/>
      <c r="AC206" s="181"/>
      <c r="AD206" s="181"/>
      <c r="AE206" s="181"/>
      <c r="AF206" s="181"/>
      <c r="AG206" s="181"/>
      <c r="AH206" s="181"/>
      <c r="AI206" s="181"/>
      <c r="AJ206" s="181"/>
      <c r="AK206" s="181"/>
      <c r="AL206" s="181"/>
      <c r="AM206" s="181"/>
      <c r="AN206" s="181"/>
      <c r="AO206" s="181"/>
      <c r="AP206" s="181"/>
      <c r="AQ206" s="181"/>
      <c r="AR206" s="181"/>
      <c r="AS206" s="181"/>
      <c r="AT206" s="181"/>
      <c r="AU206" s="181"/>
      <c r="AV206" s="181"/>
      <c r="AW206" s="181"/>
      <c r="AX206" s="181"/>
      <c r="AY206" s="181"/>
      <c r="AZ206" s="181"/>
      <c r="BA206" s="181"/>
      <c r="BB206" s="181"/>
      <c r="BC206" s="181"/>
      <c r="BD206" s="181"/>
      <c r="BE206" s="181"/>
      <c r="BF206" s="181"/>
      <c r="BG206" s="181"/>
      <c r="BH206" s="181"/>
      <c r="BI206" s="181"/>
      <c r="BJ206" s="181"/>
      <c r="BK206" s="181"/>
      <c r="BL206" s="181"/>
      <c r="BM206" s="181"/>
      <c r="BN206" s="181"/>
      <c r="BO206" s="181"/>
      <c r="BP206" s="181"/>
      <c r="BQ206" s="181"/>
      <c r="BR206" s="181"/>
      <c r="BS206" s="181"/>
      <c r="BT206" s="181"/>
      <c r="CM206" s="181"/>
      <c r="CN206" s="181"/>
      <c r="CO206" s="181"/>
      <c r="CP206" s="181"/>
      <c r="CQ206" s="181"/>
    </row>
    <row r="207" spans="1:95" s="173" customFormat="1">
      <c r="A207" s="181">
        <v>-2</v>
      </c>
      <c r="B207" s="181">
        <f>VLOOKUP(A207,$A$216:$K$224,HLOOKUP('Data Entry Sheet'!$I$28,equipment!$A$216:$K$224,2,FALSE),FALSE)</f>
        <v>6.48</v>
      </c>
      <c r="C207" s="181"/>
      <c r="D207" s="181"/>
      <c r="E207" s="181">
        <v>-7</v>
      </c>
      <c r="F207" s="181">
        <v>12.1</v>
      </c>
      <c r="G207" s="181">
        <v>14.33</v>
      </c>
      <c r="H207" s="181"/>
      <c r="I207" s="181">
        <v>-7</v>
      </c>
      <c r="J207" s="181">
        <v>11.9</v>
      </c>
      <c r="K207" s="181">
        <v>13.5</v>
      </c>
      <c r="L207" s="181"/>
      <c r="M207" s="181"/>
      <c r="N207" s="181"/>
      <c r="O207" s="181"/>
      <c r="P207" s="181"/>
      <c r="Q207" s="181"/>
      <c r="R207" s="181"/>
      <c r="S207" s="181"/>
      <c r="T207" s="181"/>
      <c r="U207" s="181"/>
      <c r="V207" s="181"/>
      <c r="W207" s="181"/>
      <c r="X207" s="181"/>
      <c r="Y207" s="181"/>
      <c r="Z207" s="181"/>
      <c r="AA207" s="181"/>
      <c r="AB207" s="181"/>
      <c r="AC207" s="181"/>
      <c r="AD207" s="181"/>
      <c r="AE207" s="181"/>
      <c r="AF207" s="181"/>
      <c r="AG207" s="181"/>
      <c r="AH207" s="181"/>
      <c r="AI207" s="181"/>
      <c r="AJ207" s="181"/>
      <c r="AK207" s="181"/>
      <c r="AL207" s="181"/>
      <c r="AM207" s="181"/>
      <c r="AN207" s="181"/>
      <c r="AO207" s="181"/>
      <c r="AP207" s="181"/>
      <c r="AQ207" s="181"/>
      <c r="AR207" s="181"/>
      <c r="AS207" s="181"/>
      <c r="AT207" s="181"/>
      <c r="AU207" s="181"/>
      <c r="AV207" s="181"/>
      <c r="AW207" s="181"/>
      <c r="AX207" s="181"/>
      <c r="AY207" s="181"/>
      <c r="AZ207" s="181"/>
      <c r="BA207" s="181"/>
      <c r="BB207" s="181"/>
      <c r="BC207" s="181"/>
      <c r="BD207" s="181"/>
      <c r="BE207" s="181"/>
      <c r="BF207" s="181"/>
      <c r="BG207" s="181"/>
      <c r="BH207" s="181"/>
      <c r="BI207" s="181"/>
      <c r="BJ207" s="181"/>
      <c r="BK207" s="181"/>
      <c r="BL207" s="181"/>
      <c r="BM207" s="181"/>
      <c r="BN207" s="181"/>
      <c r="BO207" s="181"/>
      <c r="BP207" s="181"/>
      <c r="BQ207" s="181"/>
      <c r="BR207" s="181"/>
      <c r="BS207" s="181"/>
      <c r="BT207" s="181"/>
      <c r="CM207" s="181"/>
      <c r="CN207" s="181"/>
      <c r="CO207" s="181"/>
      <c r="CP207" s="181"/>
      <c r="CQ207" s="181"/>
    </row>
    <row r="208" spans="1:95" s="173" customFormat="1">
      <c r="A208" s="181">
        <v>0</v>
      </c>
      <c r="B208" s="181">
        <f>VLOOKUP(A208,$A$216:$K$224,HLOOKUP('Data Entry Sheet'!$I$28,equipment!$A$216:$K$224,2,FALSE),FALSE)</f>
        <v>6.2549999999999999</v>
      </c>
      <c r="C208" s="181"/>
      <c r="D208" s="181"/>
      <c r="E208" s="181">
        <v>-2</v>
      </c>
      <c r="F208" s="181">
        <v>12.14</v>
      </c>
      <c r="G208" s="181">
        <v>14.7</v>
      </c>
      <c r="H208" s="181"/>
      <c r="I208" s="181">
        <v>-2</v>
      </c>
      <c r="J208" s="181">
        <v>11.84</v>
      </c>
      <c r="K208" s="181">
        <v>13.78</v>
      </c>
      <c r="L208" s="181"/>
      <c r="M208" s="181"/>
      <c r="N208" s="181"/>
      <c r="O208" s="181"/>
      <c r="P208" s="181"/>
      <c r="Q208" s="181"/>
      <c r="R208" s="181"/>
      <c r="S208" s="181"/>
      <c r="T208" s="181"/>
      <c r="U208" s="181"/>
      <c r="V208" s="181"/>
      <c r="W208" s="181"/>
      <c r="X208" s="181"/>
      <c r="Y208" s="181"/>
      <c r="Z208" s="181"/>
      <c r="AA208" s="181"/>
      <c r="AB208" s="181"/>
      <c r="AC208" s="181"/>
      <c r="AD208" s="181"/>
      <c r="AE208" s="181"/>
      <c r="AF208" s="181"/>
      <c r="AG208" s="181"/>
      <c r="AH208" s="181"/>
      <c r="AI208" s="181"/>
      <c r="AJ208" s="181"/>
      <c r="AK208" s="181"/>
      <c r="AL208" s="181"/>
      <c r="AM208" s="181"/>
      <c r="AN208" s="181"/>
      <c r="AO208" s="181"/>
      <c r="AP208" s="181"/>
      <c r="AQ208" s="181"/>
      <c r="AR208" s="181"/>
      <c r="AS208" s="181"/>
      <c r="AT208" s="181"/>
      <c r="AU208" s="181"/>
      <c r="AV208" s="181"/>
      <c r="AW208" s="181"/>
      <c r="AX208" s="181"/>
      <c r="AY208" s="181"/>
      <c r="AZ208" s="181"/>
      <c r="BA208" s="181"/>
      <c r="BB208" s="181"/>
      <c r="BC208" s="181"/>
      <c r="BD208" s="181"/>
      <c r="BE208" s="181"/>
      <c r="BF208" s="181"/>
      <c r="BG208" s="181"/>
      <c r="BH208" s="181"/>
      <c r="BI208" s="181"/>
      <c r="BJ208" s="181"/>
      <c r="BK208" s="181"/>
      <c r="BL208" s="181"/>
      <c r="BM208" s="181"/>
      <c r="BN208" s="181"/>
      <c r="BO208" s="181"/>
      <c r="BP208" s="181"/>
      <c r="BQ208" s="181"/>
      <c r="BR208" s="181"/>
      <c r="BS208" s="181"/>
      <c r="BT208" s="181"/>
      <c r="CM208" s="181"/>
      <c r="CN208" s="181"/>
      <c r="CO208" s="181"/>
      <c r="CP208" s="181"/>
      <c r="CQ208" s="181"/>
    </row>
    <row r="209" spans="1:95" s="173" customFormat="1">
      <c r="A209" s="181">
        <v>2</v>
      </c>
      <c r="B209" s="181">
        <f>VLOOKUP(A209,$A$216:$K$224,HLOOKUP('Data Entry Sheet'!$I$28,equipment!$A$216:$K$224,2,FALSE),FALSE)</f>
        <v>6.18</v>
      </c>
      <c r="C209" s="181"/>
      <c r="D209" s="181"/>
      <c r="E209" s="181">
        <v>0</v>
      </c>
      <c r="F209" s="181">
        <v>12.155000000000001</v>
      </c>
      <c r="G209" s="181">
        <v>14.849999999999998</v>
      </c>
      <c r="H209" s="181"/>
      <c r="I209" s="181">
        <v>0</v>
      </c>
      <c r="J209" s="181">
        <v>11.815000000000001</v>
      </c>
      <c r="K209" s="181">
        <v>13.889999999999999</v>
      </c>
      <c r="L209" s="181"/>
      <c r="M209" s="181"/>
      <c r="N209" s="181"/>
      <c r="O209" s="181"/>
      <c r="P209" s="181"/>
      <c r="Q209" s="181"/>
      <c r="R209" s="181"/>
      <c r="S209" s="181"/>
      <c r="T209" s="181"/>
      <c r="U209" s="181"/>
      <c r="V209" s="181"/>
      <c r="W209" s="181"/>
      <c r="X209" s="181"/>
      <c r="Y209" s="181"/>
      <c r="Z209" s="181"/>
      <c r="AA209" s="181"/>
      <c r="AB209" s="181"/>
      <c r="AC209" s="181"/>
      <c r="AD209" s="181"/>
      <c r="AE209" s="181"/>
      <c r="AF209" s="181"/>
      <c r="AG209" s="181"/>
      <c r="AH209" s="181"/>
      <c r="AI209" s="181"/>
      <c r="AJ209" s="181"/>
      <c r="AK209" s="181"/>
      <c r="AL209" s="181"/>
      <c r="AM209" s="181"/>
      <c r="AN209" s="181"/>
      <c r="AO209" s="181"/>
      <c r="AP209" s="181"/>
      <c r="AQ209" s="181"/>
      <c r="AR209" s="181"/>
      <c r="AS209" s="181"/>
      <c r="AT209" s="181"/>
      <c r="AU209" s="181"/>
      <c r="AV209" s="181"/>
      <c r="AW209" s="181"/>
      <c r="AX209" s="181"/>
      <c r="AY209" s="181"/>
      <c r="AZ209" s="181"/>
      <c r="BA209" s="181"/>
      <c r="BB209" s="181"/>
      <c r="BC209" s="181"/>
      <c r="BD209" s="181"/>
      <c r="BE209" s="181"/>
      <c r="BF209" s="181"/>
      <c r="BG209" s="181"/>
      <c r="BH209" s="181"/>
      <c r="BI209" s="181"/>
      <c r="BJ209" s="181"/>
      <c r="BK209" s="181"/>
      <c r="BL209" s="181"/>
      <c r="BM209" s="181"/>
      <c r="BN209" s="181"/>
      <c r="BO209" s="181"/>
      <c r="BP209" s="181"/>
      <c r="BQ209" s="181"/>
      <c r="BR209" s="181"/>
      <c r="BS209" s="181"/>
      <c r="BT209" s="181"/>
      <c r="CM209" s="181"/>
      <c r="CN209" s="181"/>
      <c r="CO209" s="181"/>
      <c r="CP209" s="181"/>
      <c r="CQ209" s="181"/>
    </row>
    <row r="210" spans="1:95" s="173" customFormat="1">
      <c r="A210" s="181">
        <v>7</v>
      </c>
      <c r="B210" s="181">
        <f>VLOOKUP(A210,$A$216:$K$224,HLOOKUP('Data Entry Sheet'!$I$28,equipment!$A$216:$K$224,2,FALSE),FALSE)</f>
        <v>8.0500000000000007</v>
      </c>
      <c r="C210" s="181"/>
      <c r="D210" s="181"/>
      <c r="E210" s="181">
        <v>2</v>
      </c>
      <c r="F210" s="181">
        <v>12.17</v>
      </c>
      <c r="G210" s="181">
        <v>15</v>
      </c>
      <c r="H210" s="181"/>
      <c r="I210" s="181">
        <v>2</v>
      </c>
      <c r="J210" s="181">
        <v>11.79</v>
      </c>
      <c r="K210" s="181">
        <v>14</v>
      </c>
      <c r="L210" s="181"/>
      <c r="M210" s="181"/>
      <c r="N210" s="181"/>
      <c r="O210" s="181"/>
      <c r="P210" s="181"/>
      <c r="Q210" s="181"/>
      <c r="R210" s="181"/>
      <c r="S210" s="181"/>
      <c r="T210" s="181"/>
      <c r="U210" s="181"/>
      <c r="V210" s="181"/>
      <c r="W210" s="181"/>
      <c r="X210" s="181"/>
      <c r="Y210" s="181"/>
      <c r="Z210" s="181"/>
      <c r="AA210" s="181"/>
      <c r="AB210" s="181"/>
      <c r="AC210" s="181"/>
      <c r="AD210" s="181"/>
      <c r="AE210" s="181"/>
      <c r="AF210" s="181"/>
      <c r="AG210" s="181"/>
      <c r="AH210" s="181"/>
      <c r="AI210" s="181"/>
      <c r="AJ210" s="181"/>
      <c r="AK210" s="181"/>
      <c r="AL210" s="181"/>
      <c r="AM210" s="181"/>
      <c r="AN210" s="181"/>
      <c r="AO210" s="181"/>
      <c r="AP210" s="181"/>
      <c r="AQ210" s="181"/>
      <c r="AR210" s="181"/>
      <c r="AS210" s="181"/>
      <c r="AT210" s="181"/>
      <c r="AU210" s="181"/>
      <c r="AV210" s="181"/>
      <c r="AW210" s="181"/>
      <c r="AX210" s="181"/>
      <c r="AY210" s="181"/>
      <c r="AZ210" s="181"/>
      <c r="BA210" s="181"/>
      <c r="BB210" s="181"/>
      <c r="BC210" s="181"/>
      <c r="BD210" s="181"/>
      <c r="BE210" s="181"/>
      <c r="BF210" s="181"/>
      <c r="BG210" s="181"/>
      <c r="BH210" s="181"/>
      <c r="BI210" s="181"/>
      <c r="BJ210" s="181"/>
      <c r="BK210" s="181"/>
      <c r="BL210" s="181"/>
      <c r="BM210" s="181"/>
      <c r="BN210" s="181"/>
      <c r="BO210" s="181"/>
      <c r="BP210" s="181"/>
      <c r="BQ210" s="181"/>
      <c r="BR210" s="181"/>
      <c r="BS210" s="181"/>
      <c r="BT210" s="181"/>
      <c r="CM210" s="181"/>
      <c r="CN210" s="181"/>
      <c r="CO210" s="181"/>
      <c r="CP210" s="181"/>
      <c r="CQ210" s="181"/>
    </row>
    <row r="211" spans="1:95" s="173" customFormat="1">
      <c r="A211" s="181">
        <v>15</v>
      </c>
      <c r="B211" s="181">
        <f>VLOOKUP(A211,$A$216:$K$224,HLOOKUP('Data Entry Sheet'!$I$28,equipment!$A$216:$K$224,2,FALSE),FALSE)</f>
        <v>10.130000000000001</v>
      </c>
      <c r="C211" s="181"/>
      <c r="D211" s="181"/>
      <c r="E211" s="181">
        <v>7</v>
      </c>
      <c r="F211" s="181">
        <v>13.83</v>
      </c>
      <c r="G211" s="181">
        <v>16.64</v>
      </c>
      <c r="H211" s="181"/>
      <c r="I211" s="181">
        <v>7</v>
      </c>
      <c r="J211" s="181">
        <v>13.5</v>
      </c>
      <c r="K211" s="181">
        <v>16</v>
      </c>
      <c r="L211" s="181"/>
      <c r="M211" s="181"/>
      <c r="N211" s="181"/>
      <c r="O211" s="181"/>
      <c r="P211" s="181"/>
      <c r="Q211" s="181"/>
      <c r="R211" s="181"/>
      <c r="S211" s="181"/>
      <c r="T211" s="181"/>
      <c r="U211" s="181"/>
      <c r="V211" s="181"/>
      <c r="W211" s="181"/>
      <c r="X211" s="181"/>
      <c r="Y211" s="181"/>
      <c r="Z211" s="181"/>
      <c r="AA211" s="181"/>
      <c r="AB211" s="181"/>
      <c r="AC211" s="181"/>
      <c r="AD211" s="181"/>
      <c r="AE211" s="181"/>
      <c r="AF211" s="181"/>
      <c r="AG211" s="181"/>
      <c r="AH211" s="181"/>
      <c r="AI211" s="181"/>
      <c r="AJ211" s="181"/>
      <c r="AK211" s="181"/>
      <c r="AL211" s="181"/>
      <c r="AM211" s="181"/>
      <c r="AN211" s="181"/>
      <c r="AO211" s="181"/>
      <c r="AP211" s="181"/>
      <c r="AQ211" s="181"/>
      <c r="AR211" s="181"/>
      <c r="AS211" s="181"/>
      <c r="AT211" s="181"/>
      <c r="AU211" s="181"/>
      <c r="AV211" s="181"/>
      <c r="AW211" s="181"/>
      <c r="AX211" s="181"/>
      <c r="AY211" s="181"/>
      <c r="AZ211" s="181"/>
      <c r="BA211" s="181"/>
      <c r="BB211" s="181"/>
      <c r="BC211" s="181"/>
      <c r="BD211" s="181"/>
      <c r="BE211" s="181"/>
      <c r="BF211" s="181"/>
      <c r="BG211" s="181"/>
      <c r="BH211" s="181"/>
      <c r="BI211" s="181"/>
      <c r="BJ211" s="181"/>
      <c r="BK211" s="181"/>
      <c r="BL211" s="181"/>
      <c r="BM211" s="181"/>
      <c r="BN211" s="181"/>
      <c r="BO211" s="181"/>
      <c r="BP211" s="181"/>
      <c r="BQ211" s="181"/>
      <c r="BR211" s="181"/>
      <c r="BS211" s="181"/>
      <c r="BT211" s="181"/>
      <c r="CM211" s="181"/>
      <c r="CN211" s="181"/>
      <c r="CO211" s="181"/>
      <c r="CP211" s="181"/>
      <c r="CQ211" s="181"/>
    </row>
    <row r="212" spans="1:95" s="173" customFormat="1">
      <c r="A212" s="181"/>
      <c r="B212" s="181"/>
      <c r="C212" s="181"/>
      <c r="D212" s="181"/>
      <c r="E212" s="181">
        <v>15</v>
      </c>
      <c r="F212" s="181">
        <v>15.17</v>
      </c>
      <c r="G212" s="181">
        <v>18.440000000000001</v>
      </c>
      <c r="H212" s="181"/>
      <c r="I212" s="181">
        <v>15</v>
      </c>
      <c r="J212" s="181">
        <v>15.1</v>
      </c>
      <c r="K212" s="181">
        <v>18.399999999999999</v>
      </c>
      <c r="L212" s="181"/>
      <c r="M212" s="181"/>
      <c r="N212" s="181"/>
      <c r="O212" s="181"/>
      <c r="P212" s="181"/>
      <c r="Q212" s="181"/>
      <c r="R212" s="181"/>
      <c r="S212" s="181"/>
      <c r="T212" s="181"/>
      <c r="U212" s="181"/>
      <c r="V212" s="181"/>
      <c r="W212" s="181"/>
      <c r="X212" s="181"/>
      <c r="Y212" s="181"/>
      <c r="Z212" s="181"/>
      <c r="AA212" s="181"/>
      <c r="AB212" s="181"/>
      <c r="AC212" s="181"/>
      <c r="AD212" s="181"/>
      <c r="AE212" s="181"/>
      <c r="AF212" s="181"/>
      <c r="AG212" s="181"/>
      <c r="AH212" s="181"/>
      <c r="AI212" s="181"/>
      <c r="AJ212" s="181"/>
      <c r="AK212" s="181"/>
      <c r="AL212" s="181"/>
      <c r="AM212" s="181"/>
      <c r="AN212" s="181"/>
      <c r="AO212" s="181"/>
      <c r="AP212" s="181"/>
      <c r="AQ212" s="181"/>
      <c r="AR212" s="181"/>
      <c r="AS212" s="181"/>
      <c r="AT212" s="181"/>
      <c r="AU212" s="181"/>
      <c r="AV212" s="181"/>
      <c r="AW212" s="181"/>
      <c r="AX212" s="181"/>
      <c r="AY212" s="181"/>
      <c r="AZ212" s="181"/>
      <c r="BA212" s="181"/>
      <c r="BB212" s="181"/>
      <c r="BC212" s="181"/>
      <c r="BD212" s="181"/>
      <c r="BE212" s="181"/>
      <c r="BF212" s="181"/>
      <c r="BG212" s="181"/>
      <c r="BH212" s="181"/>
      <c r="BI212" s="181"/>
      <c r="BJ212" s="181"/>
      <c r="BK212" s="181"/>
      <c r="BL212" s="181"/>
      <c r="BM212" s="181"/>
      <c r="BN212" s="181"/>
      <c r="BO212" s="181"/>
      <c r="BP212" s="181"/>
      <c r="BQ212" s="181"/>
      <c r="BR212" s="181"/>
      <c r="BS212" s="181"/>
      <c r="BT212" s="181"/>
      <c r="CM212" s="181"/>
      <c r="CN212" s="181"/>
      <c r="CO212" s="181"/>
      <c r="CP212" s="181"/>
      <c r="CQ212" s="181"/>
    </row>
    <row r="213" spans="1:95" s="173" customFormat="1">
      <c r="A213" s="181"/>
      <c r="B213" s="181"/>
      <c r="C213" s="181"/>
      <c r="D213" s="181"/>
      <c r="E213" s="181"/>
      <c r="F213" s="181"/>
      <c r="G213" s="181"/>
      <c r="H213" s="181"/>
      <c r="I213" s="181"/>
      <c r="J213" s="181"/>
      <c r="K213" s="181"/>
      <c r="L213" s="181"/>
      <c r="M213" s="181"/>
      <c r="N213" s="181"/>
      <c r="O213" s="181"/>
      <c r="P213" s="181"/>
      <c r="Q213" s="181"/>
      <c r="R213" s="181"/>
      <c r="S213" s="181"/>
      <c r="T213" s="181"/>
      <c r="U213" s="181"/>
      <c r="V213" s="181"/>
      <c r="W213" s="181"/>
      <c r="X213" s="181"/>
      <c r="Y213" s="181"/>
      <c r="Z213" s="181"/>
      <c r="AA213" s="181"/>
      <c r="AB213" s="181"/>
      <c r="AC213" s="181"/>
      <c r="AD213" s="181"/>
      <c r="AE213" s="181"/>
      <c r="AF213" s="181"/>
      <c r="AG213" s="181"/>
      <c r="AH213" s="181"/>
      <c r="AI213" s="181"/>
      <c r="AJ213" s="181"/>
      <c r="AK213" s="181"/>
      <c r="AL213" s="181"/>
      <c r="AM213" s="181"/>
      <c r="AN213" s="181"/>
      <c r="AO213" s="181"/>
      <c r="AP213" s="181"/>
      <c r="AQ213" s="181"/>
      <c r="AR213" s="181"/>
      <c r="AS213" s="181"/>
      <c r="AT213" s="181"/>
      <c r="AU213" s="181"/>
      <c r="AV213" s="181"/>
      <c r="AW213" s="181"/>
      <c r="AX213" s="181"/>
      <c r="AY213" s="181"/>
      <c r="AZ213" s="181"/>
      <c r="BA213" s="181"/>
      <c r="BB213" s="181"/>
      <c r="BC213" s="181"/>
      <c r="BD213" s="181"/>
      <c r="BE213" s="181"/>
      <c r="BF213" s="181"/>
      <c r="BG213" s="181"/>
      <c r="BH213" s="181"/>
      <c r="BI213" s="181"/>
      <c r="BJ213" s="181"/>
      <c r="BK213" s="181"/>
      <c r="BL213" s="181"/>
      <c r="BM213" s="181"/>
      <c r="BN213" s="181"/>
      <c r="BO213" s="181"/>
      <c r="BP213" s="181"/>
      <c r="BQ213" s="181"/>
      <c r="BR213" s="181"/>
      <c r="BS213" s="181"/>
      <c r="BT213" s="181"/>
      <c r="CM213" s="181"/>
      <c r="CN213" s="181"/>
      <c r="CO213" s="181"/>
      <c r="CP213" s="181"/>
      <c r="CQ213" s="181"/>
    </row>
    <row r="214" spans="1:95" s="173" customFormat="1">
      <c r="A214" s="181"/>
      <c r="B214" s="181"/>
      <c r="C214" s="181"/>
      <c r="D214" s="181"/>
      <c r="E214" s="181"/>
      <c r="F214" s="181"/>
      <c r="G214" s="181"/>
      <c r="H214" s="181"/>
      <c r="I214" s="181"/>
      <c r="J214" s="181"/>
      <c r="K214" s="181"/>
      <c r="L214" s="181"/>
      <c r="M214" s="181"/>
      <c r="N214" s="181"/>
      <c r="O214" s="181"/>
      <c r="P214" s="181"/>
      <c r="Q214" s="181"/>
      <c r="R214" s="181"/>
      <c r="S214" s="181"/>
      <c r="T214" s="181"/>
      <c r="U214" s="181"/>
      <c r="V214" s="181"/>
      <c r="W214" s="181"/>
      <c r="X214" s="181"/>
      <c r="Y214" s="181"/>
      <c r="Z214" s="181"/>
      <c r="AA214" s="181"/>
      <c r="AB214" s="181"/>
      <c r="AC214" s="181"/>
      <c r="AD214" s="181"/>
      <c r="AE214" s="181"/>
      <c r="AF214" s="181"/>
      <c r="AG214" s="181"/>
      <c r="AH214" s="181"/>
      <c r="AI214" s="181"/>
      <c r="AJ214" s="181"/>
      <c r="AK214" s="181"/>
      <c r="AL214" s="181"/>
      <c r="AM214" s="181"/>
      <c r="AN214" s="181"/>
      <c r="AO214" s="181"/>
      <c r="AP214" s="181"/>
      <c r="AQ214" s="181"/>
      <c r="AR214" s="181"/>
      <c r="AS214" s="181"/>
      <c r="AT214" s="181"/>
      <c r="AU214" s="181"/>
      <c r="AV214" s="181"/>
      <c r="AW214" s="181"/>
      <c r="AX214" s="181"/>
      <c r="AY214" s="181"/>
      <c r="AZ214" s="181"/>
      <c r="BA214" s="181"/>
      <c r="BB214" s="181"/>
      <c r="BC214" s="181"/>
      <c r="BD214" s="181"/>
      <c r="BE214" s="181"/>
      <c r="BF214" s="181"/>
      <c r="BG214" s="181"/>
      <c r="BH214" s="181"/>
      <c r="BI214" s="181"/>
      <c r="BJ214" s="181"/>
      <c r="BK214" s="181"/>
      <c r="BL214" s="181"/>
      <c r="BM214" s="181"/>
      <c r="BN214" s="181"/>
      <c r="BO214" s="181"/>
      <c r="BP214" s="181"/>
      <c r="BQ214" s="181"/>
      <c r="BR214" s="181"/>
      <c r="BS214" s="181"/>
      <c r="BT214" s="181"/>
      <c r="CM214" s="181"/>
      <c r="CN214" s="181"/>
      <c r="CO214" s="181"/>
      <c r="CP214" s="181"/>
      <c r="CQ214" s="181"/>
    </row>
    <row r="215" spans="1:95" s="173" customFormat="1">
      <c r="A215" s="181" t="s">
        <v>1102</v>
      </c>
      <c r="B215" s="181"/>
      <c r="C215" s="181"/>
      <c r="D215" s="181"/>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181"/>
      <c r="AC215" s="181"/>
      <c r="AD215" s="181"/>
      <c r="AE215" s="181"/>
      <c r="AF215" s="181"/>
      <c r="AG215" s="181"/>
      <c r="AH215" s="181"/>
      <c r="AI215" s="181"/>
      <c r="AJ215" s="181"/>
      <c r="AK215" s="181"/>
      <c r="AL215" s="181"/>
      <c r="AM215" s="181"/>
      <c r="AN215" s="181"/>
      <c r="AO215" s="181"/>
      <c r="AP215" s="181"/>
      <c r="AQ215" s="181"/>
      <c r="AR215" s="181"/>
      <c r="AS215" s="181"/>
      <c r="AT215" s="181"/>
      <c r="AU215" s="181"/>
      <c r="AV215" s="181"/>
      <c r="AW215" s="181"/>
      <c r="AX215" s="181"/>
      <c r="AY215" s="181"/>
      <c r="AZ215" s="181"/>
      <c r="BA215" s="181"/>
      <c r="BB215" s="181"/>
      <c r="BC215" s="181"/>
      <c r="BD215" s="181"/>
      <c r="BE215" s="181"/>
      <c r="BF215" s="181"/>
      <c r="BG215" s="181"/>
      <c r="BH215" s="181"/>
      <c r="BI215" s="181"/>
      <c r="BJ215" s="181"/>
      <c r="BK215" s="181"/>
      <c r="BL215" s="181"/>
      <c r="BM215" s="181"/>
      <c r="BN215" s="181"/>
      <c r="BO215" s="181"/>
      <c r="BP215" s="181"/>
      <c r="BQ215" s="181"/>
      <c r="BR215" s="181"/>
      <c r="BS215" s="181"/>
      <c r="BT215" s="181"/>
      <c r="CM215" s="181"/>
      <c r="CN215" s="181"/>
      <c r="CO215" s="181"/>
      <c r="CP215" s="181"/>
      <c r="CQ215" s="181"/>
    </row>
    <row r="216" spans="1:95" s="173" customFormat="1">
      <c r="A216" s="181" t="s">
        <v>1101</v>
      </c>
      <c r="B216" s="181">
        <v>35</v>
      </c>
      <c r="C216" s="181">
        <v>40</v>
      </c>
      <c r="D216" s="181">
        <v>45</v>
      </c>
      <c r="E216" s="181">
        <v>50</v>
      </c>
      <c r="F216" s="181">
        <v>55</v>
      </c>
      <c r="G216" s="181">
        <v>60</v>
      </c>
      <c r="H216" s="181">
        <v>65</v>
      </c>
      <c r="I216" s="181">
        <v>70</v>
      </c>
      <c r="J216" s="181">
        <v>75</v>
      </c>
      <c r="K216" s="181">
        <v>80</v>
      </c>
      <c r="L216" s="181"/>
      <c r="M216" s="181"/>
      <c r="N216" s="181"/>
      <c r="O216" s="181"/>
      <c r="P216" s="181"/>
      <c r="Q216" s="181"/>
      <c r="R216" s="181"/>
      <c r="S216" s="181"/>
      <c r="T216" s="181"/>
      <c r="U216" s="181"/>
      <c r="V216" s="181"/>
      <c r="W216" s="181"/>
      <c r="X216" s="181"/>
      <c r="Y216" s="181"/>
      <c r="Z216" s="181"/>
      <c r="AA216" s="181"/>
      <c r="AB216" s="181"/>
      <c r="AC216" s="181"/>
      <c r="AD216" s="181"/>
      <c r="AE216" s="181"/>
      <c r="AF216" s="181"/>
      <c r="AG216" s="181"/>
      <c r="AH216" s="181"/>
      <c r="AI216" s="181"/>
      <c r="AJ216" s="181"/>
      <c r="AK216" s="181"/>
      <c r="AL216" s="181"/>
      <c r="AM216" s="181"/>
      <c r="AN216" s="181"/>
      <c r="AO216" s="181"/>
      <c r="AP216" s="181"/>
      <c r="AQ216" s="181"/>
      <c r="AR216" s="181"/>
      <c r="AS216" s="181"/>
      <c r="AT216" s="181"/>
      <c r="AU216" s="181"/>
      <c r="AV216" s="181"/>
      <c r="AW216" s="181"/>
      <c r="AX216" s="181"/>
      <c r="AY216" s="181"/>
      <c r="AZ216" s="181"/>
      <c r="BA216" s="181"/>
      <c r="BB216" s="181"/>
      <c r="BC216" s="181"/>
      <c r="BD216" s="181"/>
      <c r="BE216" s="181"/>
      <c r="BF216" s="181"/>
      <c r="BG216" s="181"/>
      <c r="BH216" s="181"/>
      <c r="BI216" s="181"/>
      <c r="BJ216" s="181"/>
      <c r="BK216" s="181"/>
      <c r="BL216" s="181"/>
      <c r="BM216" s="181"/>
      <c r="BN216" s="181"/>
      <c r="BO216" s="181"/>
      <c r="BP216" s="181"/>
      <c r="BQ216" s="181"/>
      <c r="BR216" s="181"/>
      <c r="BS216" s="181"/>
      <c r="BT216" s="181"/>
      <c r="CM216" s="181"/>
      <c r="CN216" s="181"/>
      <c r="CO216" s="181"/>
      <c r="CP216" s="181"/>
      <c r="CQ216" s="181"/>
    </row>
    <row r="217" spans="1:95" s="173" customFormat="1">
      <c r="A217" s="181"/>
      <c r="B217" s="181">
        <v>2</v>
      </c>
      <c r="C217" s="181">
        <v>3</v>
      </c>
      <c r="D217" s="181">
        <v>4</v>
      </c>
      <c r="E217" s="181">
        <v>5</v>
      </c>
      <c r="F217" s="181">
        <v>6</v>
      </c>
      <c r="G217" s="181">
        <v>7</v>
      </c>
      <c r="H217" s="181">
        <v>8</v>
      </c>
      <c r="I217" s="181">
        <v>9</v>
      </c>
      <c r="J217" s="181">
        <v>10</v>
      </c>
      <c r="K217" s="181">
        <v>11</v>
      </c>
      <c r="L217" s="181"/>
      <c r="M217" s="181"/>
      <c r="N217" s="181"/>
      <c r="O217" s="181"/>
      <c r="P217" s="181"/>
      <c r="Q217" s="181"/>
      <c r="R217" s="181"/>
      <c r="S217" s="181"/>
      <c r="T217" s="181"/>
      <c r="U217" s="181"/>
      <c r="V217" s="181"/>
      <c r="W217" s="181"/>
      <c r="X217" s="181"/>
      <c r="Y217" s="181"/>
      <c r="Z217" s="181"/>
      <c r="AA217" s="181"/>
      <c r="AB217" s="181"/>
      <c r="AC217" s="181"/>
      <c r="AD217" s="181"/>
      <c r="AE217" s="181"/>
      <c r="AF217" s="181"/>
      <c r="AG217" s="181"/>
      <c r="AH217" s="181"/>
      <c r="AI217" s="181"/>
      <c r="AJ217" s="181"/>
      <c r="AK217" s="181"/>
      <c r="AL217" s="181"/>
      <c r="AM217" s="181"/>
      <c r="AN217" s="181"/>
      <c r="AO217" s="181"/>
      <c r="AP217" s="181"/>
      <c r="AQ217" s="181"/>
      <c r="AR217" s="181"/>
      <c r="AS217" s="181"/>
      <c r="AT217" s="181"/>
      <c r="AU217" s="181"/>
      <c r="AV217" s="181"/>
      <c r="AW217" s="181"/>
      <c r="AX217" s="181"/>
      <c r="AY217" s="181"/>
      <c r="AZ217" s="181"/>
      <c r="BA217" s="181"/>
      <c r="BB217" s="181"/>
      <c r="BC217" s="181"/>
      <c r="BD217" s="181"/>
      <c r="BE217" s="181"/>
      <c r="BF217" s="181"/>
      <c r="BG217" s="181"/>
      <c r="BH217" s="181"/>
      <c r="BI217" s="181"/>
      <c r="BJ217" s="181"/>
      <c r="BK217" s="181"/>
      <c r="BL217" s="181"/>
      <c r="BM217" s="181"/>
      <c r="BN217" s="181"/>
      <c r="BO217" s="181"/>
      <c r="BP217" s="181"/>
      <c r="BQ217" s="181"/>
      <c r="BR217" s="181"/>
      <c r="BS217" s="181"/>
      <c r="BT217" s="181"/>
      <c r="CM217" s="181"/>
      <c r="CN217" s="181"/>
      <c r="CO217" s="181"/>
      <c r="CP217" s="181"/>
      <c r="CQ217" s="181"/>
    </row>
    <row r="218" spans="1:95" s="173" customFormat="1">
      <c r="A218" s="181">
        <v>-10</v>
      </c>
      <c r="B218" s="181">
        <f>HLOOKUP($E$8,$A$179:$AA$186,2,FALSE)</f>
        <v>7.14</v>
      </c>
      <c r="C218" s="181">
        <f>HLOOKUP($E$8,$A$166:$AA$173,2,FALSE)</f>
        <v>6.93</v>
      </c>
      <c r="D218" s="181">
        <f>HLOOKUP($E$8,$A$151:$AA$158,2,FALSE)</f>
        <v>6.72</v>
      </c>
      <c r="E218" s="181">
        <f>HLOOKUP($E$8,$A$127:$AA$134,2,FALSE)</f>
        <v>6.38</v>
      </c>
      <c r="F218" s="181" t="e">
        <f>HLOOKUP($E$8,$A$192:$C$199,2,FALSE)</f>
        <v>#N/A</v>
      </c>
      <c r="G218" s="181" t="e">
        <f>HLOOKUP($E$8,$E$192:$G$199,2,FALSE)</f>
        <v>#N/A</v>
      </c>
      <c r="H218" s="181" t="e">
        <f>HLOOKUP($E$8,$I$192:$K$199,2,FALSE)</f>
        <v>#N/A</v>
      </c>
      <c r="I218" s="181" t="e">
        <f>HLOOKUP($E$8,$M$192:$O$199,2,FALSE)</f>
        <v>#N/A</v>
      </c>
      <c r="J218" s="181" t="e">
        <f>HLOOKUP($E$8,$E$205:$G$212,2,FALSE)</f>
        <v>#N/A</v>
      </c>
      <c r="K218" s="181" t="e">
        <f>HLOOKUP($E$8,$I$205:$K$212,2,FALSE)</f>
        <v>#N/A</v>
      </c>
      <c r="L218" s="181"/>
      <c r="M218" s="181"/>
      <c r="N218" s="181"/>
      <c r="O218" s="181"/>
      <c r="P218" s="181"/>
      <c r="Q218" s="181"/>
      <c r="R218" s="181"/>
      <c r="S218" s="181"/>
      <c r="T218" s="181"/>
      <c r="U218" s="181"/>
      <c r="V218" s="181"/>
      <c r="W218" s="181"/>
      <c r="X218" s="181"/>
      <c r="Y218" s="181"/>
      <c r="Z218" s="181"/>
      <c r="AA218" s="181"/>
      <c r="AB218" s="181"/>
      <c r="AC218" s="181"/>
      <c r="AD218" s="181"/>
      <c r="AE218" s="181"/>
      <c r="AF218" s="181"/>
      <c r="AG218" s="181"/>
      <c r="AH218" s="181"/>
      <c r="AI218" s="181"/>
      <c r="AJ218" s="181"/>
      <c r="AK218" s="181"/>
      <c r="AL218" s="181"/>
      <c r="AM218" s="181"/>
      <c r="AN218" s="181"/>
      <c r="AO218" s="181"/>
      <c r="AP218" s="181"/>
      <c r="AQ218" s="181"/>
      <c r="AR218" s="181"/>
      <c r="AS218" s="181"/>
      <c r="AT218" s="181"/>
      <c r="AU218" s="181"/>
      <c r="AV218" s="181"/>
      <c r="AW218" s="181"/>
      <c r="AX218" s="181"/>
      <c r="AY218" s="181"/>
      <c r="AZ218" s="181"/>
      <c r="BA218" s="181"/>
      <c r="BB218" s="181"/>
      <c r="BC218" s="181"/>
      <c r="BD218" s="181"/>
      <c r="BE218" s="181"/>
      <c r="BF218" s="181"/>
      <c r="BG218" s="181"/>
      <c r="BH218" s="181"/>
      <c r="BI218" s="181"/>
      <c r="BJ218" s="181"/>
      <c r="BK218" s="181"/>
      <c r="BL218" s="181"/>
      <c r="BM218" s="181"/>
      <c r="BN218" s="181"/>
      <c r="BO218" s="181"/>
      <c r="BP218" s="181"/>
      <c r="BQ218" s="181"/>
      <c r="BR218" s="181"/>
      <c r="BS218" s="181"/>
      <c r="BT218" s="181"/>
      <c r="CM218" s="181"/>
      <c r="CN218" s="181"/>
      <c r="CO218" s="181"/>
      <c r="CP218" s="181"/>
      <c r="CQ218" s="181"/>
    </row>
    <row r="219" spans="1:95" s="173" customFormat="1">
      <c r="A219" s="181">
        <v>-7</v>
      </c>
      <c r="B219" s="181">
        <f>HLOOKUP($E$8,$A$179:$AA$186,3,FALSE)</f>
        <v>7.6</v>
      </c>
      <c r="C219" s="181">
        <f>HLOOKUP($E$8,$A$166:$AA$173,3,FALSE)</f>
        <v>7.38</v>
      </c>
      <c r="D219" s="181">
        <f>HLOOKUP($E$8,$A$151:$AA$158,3,FALSE)</f>
        <v>7.15</v>
      </c>
      <c r="E219" s="181">
        <f>HLOOKUP($E$8,$A$127:$AA$134,3,FALSE)</f>
        <v>6.53</v>
      </c>
      <c r="F219" s="181" t="e">
        <f>HLOOKUP($E$8,$A$192:$C$199,3,FALSE)</f>
        <v>#N/A</v>
      </c>
      <c r="G219" s="181" t="e">
        <f>HLOOKUP($E$8,$E$192:$G$199,3,FALSE)</f>
        <v>#N/A</v>
      </c>
      <c r="H219" s="181" t="e">
        <f>HLOOKUP($E$8,$I$192:$K$199,3,FALSE)</f>
        <v>#N/A</v>
      </c>
      <c r="I219" s="181" t="e">
        <f>HLOOKUP($E$8,$M$192:$O$199,3,FALSE)</f>
        <v>#N/A</v>
      </c>
      <c r="J219" s="181" t="e">
        <f>HLOOKUP($E$8,$E$205:$G$212,3,FALSE)</f>
        <v>#N/A</v>
      </c>
      <c r="K219" s="181" t="e">
        <f>HLOOKUP($E$8,$I$205:$K$212,3,FALSE)</f>
        <v>#N/A</v>
      </c>
      <c r="L219" s="181"/>
      <c r="M219" s="181"/>
      <c r="N219" s="181"/>
      <c r="O219" s="181"/>
      <c r="P219" s="181"/>
      <c r="Q219" s="181"/>
      <c r="R219" s="181"/>
      <c r="S219" s="181"/>
      <c r="T219" s="181"/>
      <c r="U219" s="181"/>
      <c r="V219" s="181"/>
      <c r="W219" s="181"/>
      <c r="X219" s="181"/>
      <c r="Y219" s="181"/>
      <c r="Z219" s="181"/>
      <c r="AA219" s="181"/>
      <c r="AB219" s="181"/>
      <c r="AC219" s="181"/>
      <c r="AD219" s="181"/>
      <c r="AE219" s="181"/>
      <c r="AF219" s="181"/>
      <c r="AG219" s="181"/>
      <c r="AH219" s="181"/>
      <c r="AI219" s="181"/>
      <c r="AJ219" s="181"/>
      <c r="AK219" s="181"/>
      <c r="AL219" s="181"/>
      <c r="AM219" s="181"/>
      <c r="AN219" s="181"/>
      <c r="AO219" s="181"/>
      <c r="AP219" s="181"/>
      <c r="AQ219" s="181"/>
      <c r="AR219" s="181"/>
      <c r="AS219" s="181"/>
      <c r="AT219" s="181"/>
      <c r="AU219" s="181"/>
      <c r="AV219" s="181"/>
      <c r="AW219" s="181"/>
      <c r="AX219" s="181"/>
      <c r="AY219" s="181"/>
      <c r="AZ219" s="181"/>
      <c r="BA219" s="181"/>
      <c r="BB219" s="181"/>
      <c r="BC219" s="181"/>
      <c r="BD219" s="181"/>
      <c r="BE219" s="181"/>
      <c r="BF219" s="181"/>
      <c r="BG219" s="181"/>
      <c r="BH219" s="181"/>
      <c r="BI219" s="181"/>
      <c r="BJ219" s="181"/>
      <c r="BK219" s="181"/>
      <c r="BL219" s="181"/>
      <c r="BM219" s="181"/>
      <c r="BN219" s="181"/>
      <c r="BO219" s="181"/>
      <c r="BP219" s="181"/>
      <c r="BQ219" s="181"/>
      <c r="BR219" s="181"/>
      <c r="BS219" s="181"/>
      <c r="BT219" s="181"/>
      <c r="CM219" s="181"/>
      <c r="CN219" s="181"/>
      <c r="CO219" s="181"/>
      <c r="CP219" s="181"/>
      <c r="CQ219" s="181"/>
    </row>
    <row r="220" spans="1:95" s="173" customFormat="1">
      <c r="A220" s="181">
        <v>-2</v>
      </c>
      <c r="B220" s="181">
        <f>HLOOKUP($E$8,$A$179:$AA$186,4,FALSE)</f>
        <v>7.3</v>
      </c>
      <c r="C220" s="181">
        <f>HLOOKUP($E$8,$A$166:$AA$173,4,FALSE)</f>
        <v>7.06</v>
      </c>
      <c r="D220" s="181">
        <f>HLOOKUP($E$8,$A$151:$AA$158,4,FALSE)</f>
        <v>6.83</v>
      </c>
      <c r="E220" s="181">
        <f>HLOOKUP($E$8,$A$127:$AA$134,4,FALSE)</f>
        <v>6.48</v>
      </c>
      <c r="F220" s="181" t="e">
        <f>HLOOKUP($E$8,$A$192:$C$199,4,FALSE)</f>
        <v>#N/A</v>
      </c>
      <c r="G220" s="181" t="e">
        <f>HLOOKUP($E$8,$E$192:$G$199,4,FALSE)</f>
        <v>#N/A</v>
      </c>
      <c r="H220" s="181" t="e">
        <f>HLOOKUP($E$8,$I$192:$K$199,4,FALSE)</f>
        <v>#N/A</v>
      </c>
      <c r="I220" s="181" t="e">
        <f>HLOOKUP($E$8,$M$192:$O$199,4,FALSE)</f>
        <v>#N/A</v>
      </c>
      <c r="J220" s="181" t="e">
        <f>HLOOKUP($E$8,$E$205:$G$212,4,FALSE)</f>
        <v>#N/A</v>
      </c>
      <c r="K220" s="181" t="e">
        <f>HLOOKUP($E$8,$I$205:$K$212,4,FALSE)</f>
        <v>#N/A</v>
      </c>
      <c r="L220" s="181"/>
      <c r="M220" s="181"/>
      <c r="N220" s="181"/>
      <c r="O220" s="181"/>
      <c r="P220" s="181"/>
      <c r="Q220" s="181"/>
      <c r="R220" s="181"/>
      <c r="S220" s="181"/>
      <c r="T220" s="181"/>
      <c r="U220" s="181"/>
      <c r="V220" s="181"/>
      <c r="W220" s="181"/>
      <c r="X220" s="181"/>
      <c r="Y220" s="181"/>
      <c r="Z220" s="181"/>
      <c r="AA220" s="181"/>
      <c r="AB220" s="181"/>
      <c r="AC220" s="181"/>
      <c r="AD220" s="181"/>
      <c r="AE220" s="181"/>
      <c r="AF220" s="181"/>
      <c r="AG220" s="181"/>
      <c r="AH220" s="181"/>
      <c r="AI220" s="181"/>
      <c r="AJ220" s="181"/>
      <c r="AK220" s="181"/>
      <c r="AL220" s="181"/>
      <c r="AM220" s="181"/>
      <c r="AN220" s="181"/>
      <c r="AO220" s="181"/>
      <c r="AP220" s="181"/>
      <c r="AQ220" s="181"/>
      <c r="AR220" s="181"/>
      <c r="AS220" s="181"/>
      <c r="AT220" s="181"/>
      <c r="AU220" s="181"/>
      <c r="AV220" s="181"/>
      <c r="AW220" s="181"/>
      <c r="AX220" s="181"/>
      <c r="AY220" s="181"/>
      <c r="AZ220" s="181"/>
      <c r="BA220" s="181"/>
      <c r="BB220" s="181"/>
      <c r="BC220" s="181"/>
      <c r="BD220" s="181"/>
      <c r="BE220" s="181"/>
      <c r="BF220" s="181"/>
      <c r="BG220" s="181"/>
      <c r="BH220" s="181"/>
      <c r="BI220" s="181"/>
      <c r="BJ220" s="181"/>
      <c r="BK220" s="181"/>
      <c r="BL220" s="181"/>
      <c r="BM220" s="181"/>
      <c r="BN220" s="181"/>
      <c r="BO220" s="181"/>
      <c r="BP220" s="181"/>
      <c r="BQ220" s="181"/>
      <c r="BR220" s="181"/>
      <c r="BS220" s="181"/>
      <c r="BT220" s="181"/>
      <c r="CM220" s="181"/>
      <c r="CN220" s="181"/>
      <c r="CO220" s="181"/>
      <c r="CP220" s="181"/>
      <c r="CQ220" s="181"/>
    </row>
    <row r="221" spans="1:95" s="173" customFormat="1">
      <c r="A221" s="181">
        <v>0</v>
      </c>
      <c r="B221" s="181">
        <f>HLOOKUP($E$8,$A$179:$AA$186,5,FALSE)</f>
        <v>7.15</v>
      </c>
      <c r="C221" s="181">
        <f>HLOOKUP($E$8,$A$166:$AA$173,5,FALSE)</f>
        <v>6.9</v>
      </c>
      <c r="D221" s="181">
        <f>HLOOKUP($E$8,$A$151:$AA$158,5,FALSE)</f>
        <v>6.67</v>
      </c>
      <c r="E221" s="181">
        <f>HLOOKUP($E$8,$A$127:$AA$134,5,FALSE)</f>
        <v>6.2549999999999999</v>
      </c>
      <c r="F221" s="181" t="e">
        <f>HLOOKUP($E$8,$A$192:$C$199,5,FALSE)</f>
        <v>#N/A</v>
      </c>
      <c r="G221" s="181" t="e">
        <f>HLOOKUP($E$8,$E$192:$G$199,5,FALSE)</f>
        <v>#N/A</v>
      </c>
      <c r="H221" s="181" t="e">
        <f>HLOOKUP($E$8,$I$192:$K$199,5,FALSE)</f>
        <v>#N/A</v>
      </c>
      <c r="I221" s="181" t="e">
        <f>HLOOKUP($E$8,$M$192:$O$199,5,FALSE)</f>
        <v>#N/A</v>
      </c>
      <c r="J221" s="181" t="e">
        <f>HLOOKUP($E$8,$E$205:$G$212,5,FALSE)</f>
        <v>#N/A</v>
      </c>
      <c r="K221" s="181" t="e">
        <f>HLOOKUP($E$8,$I$205:$K$212,5,FALSE)</f>
        <v>#N/A</v>
      </c>
      <c r="L221" s="181"/>
      <c r="M221" s="181"/>
      <c r="N221" s="181"/>
      <c r="O221" s="181"/>
      <c r="P221" s="181"/>
      <c r="Q221" s="181"/>
      <c r="R221" s="181"/>
      <c r="S221" s="181"/>
      <c r="T221" s="181"/>
      <c r="U221" s="181"/>
      <c r="V221" s="181"/>
      <c r="W221" s="181"/>
      <c r="X221" s="181"/>
      <c r="Y221" s="181"/>
      <c r="Z221" s="181"/>
      <c r="AA221" s="181"/>
      <c r="AB221" s="181"/>
      <c r="AC221" s="181"/>
      <c r="AD221" s="181"/>
      <c r="AE221" s="181"/>
      <c r="AF221" s="181"/>
      <c r="AG221" s="181"/>
      <c r="AH221" s="181"/>
      <c r="AI221" s="181"/>
      <c r="AJ221" s="181"/>
      <c r="AK221" s="181"/>
      <c r="AL221" s="181"/>
      <c r="AM221" s="181"/>
      <c r="AN221" s="181"/>
      <c r="AO221" s="181"/>
      <c r="AP221" s="181"/>
      <c r="AQ221" s="181"/>
      <c r="AR221" s="181"/>
      <c r="AS221" s="181"/>
      <c r="AT221" s="181"/>
      <c r="AU221" s="181"/>
      <c r="AV221" s="181"/>
      <c r="AW221" s="181"/>
      <c r="AX221" s="181"/>
      <c r="AY221" s="181"/>
      <c r="AZ221" s="181"/>
      <c r="BA221" s="181"/>
      <c r="BB221" s="181"/>
      <c r="BC221" s="181"/>
      <c r="BD221" s="181"/>
      <c r="BE221" s="181"/>
      <c r="BF221" s="181"/>
      <c r="BG221" s="181"/>
      <c r="BH221" s="181"/>
      <c r="BI221" s="181"/>
      <c r="BJ221" s="181"/>
      <c r="BK221" s="181"/>
      <c r="BL221" s="181"/>
      <c r="BM221" s="181"/>
      <c r="BN221" s="181"/>
      <c r="BO221" s="181"/>
      <c r="BP221" s="181"/>
      <c r="BQ221" s="181"/>
      <c r="BR221" s="181"/>
      <c r="BS221" s="181"/>
      <c r="BT221" s="181"/>
      <c r="CM221" s="181"/>
      <c r="CN221" s="181"/>
      <c r="CO221" s="181"/>
      <c r="CP221" s="181"/>
      <c r="CQ221" s="181"/>
    </row>
    <row r="222" spans="1:95" s="173" customFormat="1">
      <c r="A222" s="181">
        <v>2</v>
      </c>
      <c r="B222" s="181">
        <f>HLOOKUP($E$8,$A$179:$AA$186,6,FALSE)</f>
        <v>7</v>
      </c>
      <c r="C222" s="181">
        <f>HLOOKUP($E$8,$A$166:$AA$173,6,FALSE)</f>
        <v>6.75</v>
      </c>
      <c r="D222" s="181">
        <f>HLOOKUP($E$8,$A$151:$AA$158,6,FALSE)</f>
        <v>6.5</v>
      </c>
      <c r="E222" s="181">
        <f>HLOOKUP($E$8,$A$127:$AA$134,6,FALSE)</f>
        <v>6.18</v>
      </c>
      <c r="F222" s="181" t="e">
        <f>HLOOKUP($E$8,$A$192:$C$199,6,FALSE)</f>
        <v>#N/A</v>
      </c>
      <c r="G222" s="181" t="e">
        <f>HLOOKUP($E$8,$E$192:$G$199,6,FALSE)</f>
        <v>#N/A</v>
      </c>
      <c r="H222" s="181" t="e">
        <f>HLOOKUP($E$8,$I$192:$K$199,6,FALSE)</f>
        <v>#N/A</v>
      </c>
      <c r="I222" s="181" t="e">
        <f>HLOOKUP($E$8,$M$192:$O$199,6,FALSE)</f>
        <v>#N/A</v>
      </c>
      <c r="J222" s="181" t="e">
        <f>HLOOKUP($E$8,$E$205:$G$212,6,FALSE)</f>
        <v>#N/A</v>
      </c>
      <c r="K222" s="181" t="e">
        <f>HLOOKUP($E$8,$I$205:$K$212,6,FALSE)</f>
        <v>#N/A</v>
      </c>
      <c r="L222" s="181"/>
      <c r="M222" s="181"/>
      <c r="N222" s="181"/>
      <c r="O222" s="181"/>
      <c r="P222" s="181"/>
      <c r="Q222" s="181"/>
      <c r="R222" s="181"/>
      <c r="S222" s="181"/>
      <c r="T222" s="181"/>
      <c r="U222" s="181"/>
      <c r="V222" s="181"/>
      <c r="W222" s="181"/>
      <c r="X222" s="181"/>
      <c r="Y222" s="181"/>
      <c r="Z222" s="181"/>
      <c r="AA222" s="181"/>
      <c r="AB222" s="181"/>
      <c r="AC222" s="181"/>
      <c r="AD222" s="181"/>
      <c r="AE222" s="181"/>
      <c r="AF222" s="181"/>
      <c r="AG222" s="181"/>
      <c r="AH222" s="181"/>
      <c r="AI222" s="181"/>
      <c r="AJ222" s="181"/>
      <c r="AK222" s="181"/>
      <c r="AL222" s="181"/>
      <c r="AM222" s="181"/>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1"/>
      <c r="BQ222" s="181"/>
      <c r="BR222" s="181"/>
      <c r="BS222" s="181"/>
      <c r="BT222" s="181"/>
      <c r="CM222" s="181"/>
      <c r="CN222" s="181"/>
      <c r="CO222" s="181"/>
      <c r="CP222" s="181"/>
      <c r="CQ222" s="181"/>
    </row>
    <row r="223" spans="1:95" s="173" customFormat="1">
      <c r="A223" s="181">
        <v>7</v>
      </c>
      <c r="B223" s="181">
        <f>HLOOKUP($E$8,$A$179:$AA$186,7,FALSE)</f>
        <v>9</v>
      </c>
      <c r="C223" s="181">
        <f>HLOOKUP($E$8,$A$166:$AA$173,7,FALSE)</f>
        <v>8.5500000000000007</v>
      </c>
      <c r="D223" s="181">
        <f>HLOOKUP($E$8,$A$151:$AA$158,7,FALSE)</f>
        <v>8.1</v>
      </c>
      <c r="E223" s="181">
        <f>HLOOKUP($E$8,$A$127:$AA$134,7,FALSE)</f>
        <v>8.0500000000000007</v>
      </c>
      <c r="F223" s="181" t="e">
        <f>HLOOKUP($E$8,$A$192:$C$199,7,FALSE)</f>
        <v>#N/A</v>
      </c>
      <c r="G223" s="181" t="e">
        <f>HLOOKUP($E$8,$E$192:$G$199,7,FALSE)</f>
        <v>#N/A</v>
      </c>
      <c r="H223" s="181" t="e">
        <f>HLOOKUP($E$8,$I$192:$K$199,7,FALSE)</f>
        <v>#N/A</v>
      </c>
      <c r="I223" s="181" t="e">
        <f>HLOOKUP($E$8,$M$192:$O$199,7,FALSE)</f>
        <v>#N/A</v>
      </c>
      <c r="J223" s="181" t="e">
        <f>HLOOKUP($E$8,$E$205:$G$212,7,FALSE)</f>
        <v>#N/A</v>
      </c>
      <c r="K223" s="181" t="e">
        <f>HLOOKUP($E$8,$I$205:$K$212,7,FALSE)</f>
        <v>#N/A</v>
      </c>
      <c r="L223" s="181"/>
      <c r="M223" s="181"/>
      <c r="N223" s="181"/>
      <c r="O223" s="181"/>
      <c r="P223" s="181"/>
      <c r="Q223" s="181"/>
      <c r="R223" s="181"/>
      <c r="S223" s="181"/>
      <c r="T223" s="181"/>
      <c r="U223" s="181"/>
      <c r="V223" s="181"/>
      <c r="W223" s="181"/>
      <c r="X223" s="181"/>
      <c r="Y223" s="181"/>
      <c r="Z223" s="181"/>
      <c r="AA223" s="181"/>
      <c r="AB223" s="181"/>
      <c r="AC223" s="181"/>
      <c r="AD223" s="181"/>
      <c r="AE223" s="181"/>
      <c r="AF223" s="181"/>
      <c r="AG223" s="181"/>
      <c r="AH223" s="181"/>
      <c r="AI223" s="181"/>
      <c r="AJ223" s="181"/>
      <c r="AK223" s="181"/>
      <c r="AL223" s="181"/>
      <c r="AM223" s="181"/>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1"/>
      <c r="BR223" s="181"/>
      <c r="BS223" s="181"/>
      <c r="BT223" s="181"/>
      <c r="CM223" s="181"/>
      <c r="CN223" s="181"/>
      <c r="CO223" s="181"/>
      <c r="CP223" s="181"/>
      <c r="CQ223" s="181"/>
    </row>
    <row r="224" spans="1:95" s="173" customFormat="1">
      <c r="A224" s="181">
        <v>15</v>
      </c>
      <c r="B224" s="181">
        <f>HLOOKUP($E$8,$A$179:$AA$186,8,FALSE)</f>
        <v>11.36</v>
      </c>
      <c r="C224" s="181">
        <f>HLOOKUP($E$8,$A$166:$AA$173,8,FALSE)</f>
        <v>11.01</v>
      </c>
      <c r="D224" s="181">
        <f>HLOOKUP($E$8,$A$151:$AA$158,8,FALSE)</f>
        <v>10.66</v>
      </c>
      <c r="E224" s="181">
        <f>HLOOKUP($E$8,$A$127:$AA$134,8,FALSE)</f>
        <v>10.130000000000001</v>
      </c>
      <c r="F224" s="181" t="e">
        <f>HLOOKUP($E$8,$A$192:$C$199,8,FALSE)</f>
        <v>#N/A</v>
      </c>
      <c r="G224" s="181" t="e">
        <f>HLOOKUP($E$8,$E$192:$G$199,8,FALSE)</f>
        <v>#N/A</v>
      </c>
      <c r="H224" s="181" t="e">
        <f>HLOOKUP($E$8,$I$192:$K$199,8,FALSE)</f>
        <v>#N/A</v>
      </c>
      <c r="I224" s="181" t="e">
        <f>HLOOKUP($E$8,$M$192:$O$199,8,FALSE)</f>
        <v>#N/A</v>
      </c>
      <c r="J224" s="181" t="e">
        <f>HLOOKUP($E$8,$E$205:$G$212,8,FALSE)</f>
        <v>#N/A</v>
      </c>
      <c r="K224" s="181" t="e">
        <f>HLOOKUP($E$8,$I$205:$K$212,8,FALSE)</f>
        <v>#N/A</v>
      </c>
      <c r="L224" s="181"/>
      <c r="M224" s="181"/>
      <c r="N224" s="181"/>
      <c r="O224" s="181"/>
      <c r="P224" s="181"/>
      <c r="Q224" s="181"/>
      <c r="R224" s="181"/>
      <c r="S224" s="181"/>
      <c r="T224" s="181"/>
      <c r="U224" s="181"/>
      <c r="V224" s="181"/>
      <c r="W224" s="181"/>
      <c r="X224" s="181"/>
      <c r="Y224" s="181"/>
      <c r="Z224" s="181"/>
      <c r="AA224" s="181"/>
      <c r="AB224" s="181"/>
      <c r="AC224" s="181"/>
      <c r="AD224" s="181"/>
      <c r="AE224" s="181"/>
      <c r="AF224" s="181"/>
      <c r="AG224" s="181"/>
      <c r="AH224" s="181"/>
      <c r="AI224" s="181"/>
      <c r="AJ224" s="181"/>
      <c r="AK224" s="181"/>
      <c r="AL224" s="181"/>
      <c r="AM224" s="181"/>
      <c r="AN224" s="181"/>
      <c r="AO224" s="181"/>
      <c r="AP224" s="181"/>
      <c r="AQ224" s="181"/>
      <c r="AR224" s="181"/>
      <c r="AS224" s="181"/>
      <c r="AT224" s="181"/>
      <c r="AU224" s="181"/>
      <c r="AV224" s="181"/>
      <c r="AW224" s="181"/>
      <c r="AX224" s="181"/>
      <c r="AY224" s="181"/>
      <c r="AZ224" s="181"/>
      <c r="BA224" s="181"/>
      <c r="BB224" s="181"/>
      <c r="BC224" s="181"/>
      <c r="BD224" s="181"/>
      <c r="BE224" s="181"/>
      <c r="BF224" s="181"/>
      <c r="BG224" s="181"/>
      <c r="BH224" s="181"/>
      <c r="BI224" s="181"/>
      <c r="BJ224" s="181"/>
      <c r="BK224" s="181"/>
      <c r="BL224" s="181"/>
      <c r="BM224" s="181"/>
      <c r="BN224" s="181"/>
      <c r="BO224" s="181"/>
      <c r="BP224" s="181"/>
      <c r="BQ224" s="181"/>
      <c r="BR224" s="181"/>
      <c r="BS224" s="181"/>
      <c r="BT224" s="181"/>
      <c r="CM224" s="181"/>
      <c r="CN224" s="181"/>
      <c r="CO224" s="181"/>
      <c r="CP224" s="181"/>
      <c r="CQ224" s="181"/>
    </row>
    <row r="225" spans="1:95" s="173" customFormat="1">
      <c r="A225" s="181" t="s">
        <v>1123</v>
      </c>
      <c r="B225" s="181">
        <f>B220/$E$14</f>
        <v>1.1295064562032686</v>
      </c>
      <c r="C225" s="181">
        <f t="shared" ref="C225:D225" si="23">C220/$E$14</f>
        <v>1.0923719973691886</v>
      </c>
      <c r="D225" s="181">
        <f t="shared" si="23"/>
        <v>1.0567848076531952</v>
      </c>
      <c r="E225" s="181">
        <f t="shared" ref="E225:K225" si="24">E220/$E$14</f>
        <v>1.002630388520162</v>
      </c>
      <c r="F225" s="181" t="e">
        <f t="shared" si="24"/>
        <v>#N/A</v>
      </c>
      <c r="G225" s="181" t="e">
        <f t="shared" si="24"/>
        <v>#N/A</v>
      </c>
      <c r="H225" s="181" t="e">
        <f t="shared" si="24"/>
        <v>#N/A</v>
      </c>
      <c r="I225" s="181" t="e">
        <f t="shared" si="24"/>
        <v>#N/A</v>
      </c>
      <c r="J225" s="181" t="e">
        <f t="shared" si="24"/>
        <v>#N/A</v>
      </c>
      <c r="K225" s="181" t="e">
        <f t="shared" si="24"/>
        <v>#N/A</v>
      </c>
      <c r="L225" s="181"/>
      <c r="M225" s="181"/>
      <c r="N225" s="181"/>
      <c r="O225" s="181"/>
      <c r="P225" s="181"/>
      <c r="Q225" s="181"/>
      <c r="R225" s="181"/>
      <c r="S225" s="181"/>
      <c r="T225" s="181"/>
      <c r="U225" s="181"/>
      <c r="V225" s="181"/>
      <c r="W225" s="181"/>
      <c r="X225" s="181"/>
      <c r="Y225" s="181"/>
      <c r="Z225" s="181"/>
      <c r="AA225" s="181"/>
      <c r="AB225" s="181"/>
      <c r="AC225" s="181"/>
      <c r="AD225" s="181"/>
      <c r="AE225" s="181"/>
      <c r="AF225" s="181"/>
      <c r="AG225" s="181"/>
      <c r="AH225" s="181"/>
      <c r="AI225" s="181"/>
      <c r="AJ225" s="181"/>
      <c r="AK225" s="181"/>
      <c r="AL225" s="181"/>
      <c r="AM225" s="181"/>
      <c r="AN225" s="181"/>
      <c r="AO225" s="181"/>
      <c r="AP225" s="181"/>
      <c r="AQ225" s="181"/>
      <c r="AR225" s="181"/>
      <c r="AS225" s="181"/>
      <c r="AT225" s="181"/>
      <c r="AU225" s="181"/>
      <c r="AV225" s="181"/>
      <c r="AW225" s="181"/>
      <c r="AX225" s="181"/>
      <c r="AY225" s="181"/>
      <c r="AZ225" s="181"/>
      <c r="BA225" s="181"/>
      <c r="BB225" s="181"/>
      <c r="BC225" s="181"/>
      <c r="BD225" s="181"/>
      <c r="BE225" s="181"/>
      <c r="BF225" s="181"/>
      <c r="BG225" s="181"/>
      <c r="BH225" s="181"/>
      <c r="BI225" s="181"/>
      <c r="BJ225" s="181"/>
      <c r="BK225" s="181"/>
      <c r="BL225" s="181"/>
      <c r="BM225" s="181"/>
      <c r="BN225" s="181"/>
      <c r="BO225" s="181"/>
      <c r="BP225" s="181"/>
      <c r="BQ225" s="181"/>
      <c r="BR225" s="181"/>
      <c r="BS225" s="181"/>
      <c r="BT225" s="181"/>
      <c r="CM225" s="181"/>
      <c r="CN225" s="181"/>
      <c r="CO225" s="181"/>
      <c r="CP225" s="181"/>
      <c r="CQ225" s="181"/>
    </row>
    <row r="226" spans="1:95" s="173" customFormat="1">
      <c r="A226" s="181"/>
      <c r="B226" s="181"/>
      <c r="C226" s="181"/>
      <c r="D226" s="181"/>
      <c r="E226" s="181"/>
      <c r="F226" s="181"/>
      <c r="G226" s="181"/>
      <c r="H226" s="181"/>
      <c r="I226" s="181"/>
      <c r="J226" s="181"/>
      <c r="K226" s="181"/>
      <c r="L226" s="181"/>
      <c r="M226" s="181"/>
      <c r="N226" s="181"/>
      <c r="O226" s="181"/>
      <c r="P226" s="181"/>
      <c r="Q226" s="181"/>
      <c r="R226" s="181"/>
      <c r="S226" s="181"/>
      <c r="T226" s="181"/>
      <c r="U226" s="181"/>
      <c r="V226" s="181"/>
      <c r="W226" s="181"/>
      <c r="X226" s="181"/>
      <c r="Y226" s="181"/>
      <c r="Z226" s="181"/>
      <c r="AA226" s="181"/>
      <c r="AB226" s="181"/>
      <c r="AC226" s="181"/>
      <c r="AD226" s="181"/>
      <c r="AE226" s="181"/>
      <c r="AF226" s="181"/>
      <c r="AG226" s="181"/>
      <c r="AH226" s="181"/>
      <c r="AI226" s="181"/>
      <c r="AJ226" s="181"/>
      <c r="AK226" s="181"/>
      <c r="AL226" s="181"/>
      <c r="AM226" s="181"/>
      <c r="AN226" s="181"/>
      <c r="AO226" s="181"/>
      <c r="AP226" s="181"/>
      <c r="AQ226" s="181"/>
      <c r="AR226" s="181"/>
      <c r="AS226" s="181"/>
      <c r="AT226" s="181"/>
      <c r="AU226" s="181"/>
      <c r="AV226" s="181"/>
      <c r="AW226" s="181"/>
      <c r="AX226" s="181"/>
      <c r="AY226" s="181"/>
      <c r="AZ226" s="181"/>
      <c r="BA226" s="181"/>
      <c r="BB226" s="181"/>
      <c r="BC226" s="181"/>
      <c r="BD226" s="181"/>
      <c r="BE226" s="181"/>
      <c r="BF226" s="181"/>
      <c r="BG226" s="181"/>
      <c r="BH226" s="181"/>
      <c r="BI226" s="181"/>
      <c r="BJ226" s="181"/>
      <c r="BK226" s="181"/>
      <c r="BL226" s="181"/>
      <c r="BM226" s="181"/>
      <c r="BN226" s="181"/>
      <c r="BO226" s="181"/>
      <c r="BP226" s="181"/>
      <c r="BQ226" s="181"/>
      <c r="BR226" s="181"/>
      <c r="BS226" s="181"/>
      <c r="BT226" s="181"/>
      <c r="CM226" s="181"/>
      <c r="CN226" s="181"/>
      <c r="CO226" s="181"/>
      <c r="CP226" s="181"/>
      <c r="CQ226" s="181"/>
    </row>
    <row r="227" spans="1:95" s="173" customFormat="1">
      <c r="A227" s="181"/>
      <c r="B227" s="181"/>
      <c r="C227" s="181"/>
      <c r="D227" s="181"/>
      <c r="E227" s="181"/>
      <c r="F227" s="181"/>
      <c r="G227" s="181"/>
      <c r="H227" s="181"/>
      <c r="I227" s="181"/>
      <c r="J227" s="181"/>
      <c r="K227" s="181"/>
      <c r="L227" s="181"/>
      <c r="M227" s="181"/>
      <c r="N227" s="181"/>
      <c r="O227" s="181"/>
      <c r="P227" s="181"/>
      <c r="Q227" s="181"/>
      <c r="R227" s="181"/>
      <c r="S227" s="181"/>
      <c r="T227" s="181"/>
      <c r="U227" s="181"/>
      <c r="V227" s="181"/>
      <c r="W227" s="181"/>
      <c r="X227" s="181"/>
      <c r="Y227" s="181"/>
      <c r="Z227" s="181"/>
      <c r="AA227" s="181"/>
      <c r="AB227" s="181"/>
      <c r="AC227" s="181"/>
      <c r="AD227" s="181"/>
      <c r="AE227" s="181"/>
      <c r="AF227" s="181"/>
      <c r="AG227" s="181"/>
      <c r="AH227" s="181"/>
      <c r="AI227" s="181"/>
      <c r="AJ227" s="181"/>
      <c r="AK227" s="181"/>
      <c r="AL227" s="181"/>
      <c r="AM227" s="181"/>
      <c r="AN227" s="181"/>
      <c r="AO227" s="181"/>
      <c r="AP227" s="181"/>
      <c r="AQ227" s="181"/>
      <c r="AR227" s="181"/>
      <c r="AS227" s="181"/>
      <c r="AT227" s="181"/>
      <c r="AU227" s="181"/>
      <c r="AV227" s="181"/>
      <c r="AW227" s="181"/>
      <c r="AX227" s="181"/>
      <c r="AY227" s="181"/>
      <c r="AZ227" s="181"/>
      <c r="BA227" s="181"/>
      <c r="BB227" s="181"/>
      <c r="BC227" s="181"/>
      <c r="BD227" s="181"/>
      <c r="BE227" s="181"/>
      <c r="BF227" s="181"/>
      <c r="BG227" s="181"/>
      <c r="BH227" s="181"/>
      <c r="BI227" s="181"/>
      <c r="BJ227" s="181"/>
      <c r="BK227" s="181"/>
      <c r="BL227" s="181"/>
      <c r="BM227" s="181"/>
      <c r="BN227" s="181"/>
      <c r="BO227" s="181"/>
      <c r="BP227" s="181"/>
      <c r="BQ227" s="181"/>
      <c r="BR227" s="181"/>
      <c r="BS227" s="181"/>
      <c r="BT227" s="181"/>
      <c r="CM227" s="181"/>
      <c r="CN227" s="181"/>
      <c r="CO227" s="181"/>
      <c r="CP227" s="181"/>
      <c r="CQ227" s="181"/>
    </row>
    <row r="228" spans="1:95" s="173" customFormat="1">
      <c r="A228" s="181"/>
      <c r="B228" s="181"/>
      <c r="C228" s="181"/>
      <c r="D228" s="181"/>
      <c r="E228" s="181"/>
      <c r="F228" s="181"/>
      <c r="G228" s="181"/>
      <c r="H228" s="181"/>
      <c r="I228" s="181"/>
      <c r="J228" s="181"/>
      <c r="K228" s="181"/>
      <c r="L228" s="181"/>
      <c r="M228" s="181"/>
      <c r="N228" s="181"/>
      <c r="O228" s="181"/>
      <c r="P228" s="181"/>
      <c r="Q228" s="181"/>
      <c r="R228" s="181"/>
      <c r="S228" s="181"/>
      <c r="T228" s="181"/>
      <c r="U228" s="181"/>
      <c r="V228" s="181"/>
      <c r="W228" s="181"/>
      <c r="X228" s="181"/>
      <c r="Y228" s="181"/>
      <c r="Z228" s="181"/>
      <c r="AA228" s="181"/>
      <c r="AB228" s="181"/>
      <c r="AC228" s="181"/>
      <c r="AD228" s="181"/>
      <c r="AE228" s="181"/>
      <c r="AF228" s="181"/>
      <c r="AG228" s="181"/>
      <c r="AH228" s="181"/>
      <c r="AI228" s="181"/>
      <c r="AJ228" s="181"/>
      <c r="AK228" s="181"/>
      <c r="AL228" s="181"/>
      <c r="AM228" s="181"/>
      <c r="AN228" s="181"/>
      <c r="AO228" s="181"/>
      <c r="AP228" s="181"/>
      <c r="AQ228" s="181"/>
      <c r="AR228" s="181"/>
      <c r="AS228" s="181"/>
      <c r="AT228" s="181"/>
      <c r="AU228" s="181"/>
      <c r="AV228" s="181"/>
      <c r="AW228" s="181"/>
      <c r="AX228" s="181"/>
      <c r="AY228" s="181"/>
      <c r="AZ228" s="181"/>
      <c r="BA228" s="181"/>
      <c r="BB228" s="181"/>
      <c r="BC228" s="181"/>
      <c r="BD228" s="181"/>
      <c r="BE228" s="181"/>
      <c r="BF228" s="181"/>
      <c r="BG228" s="181"/>
      <c r="BH228" s="181"/>
      <c r="BI228" s="181"/>
      <c r="BJ228" s="181"/>
      <c r="BK228" s="181"/>
      <c r="BL228" s="181"/>
      <c r="BM228" s="181"/>
      <c r="BN228" s="181"/>
      <c r="BO228" s="181"/>
      <c r="BP228" s="181"/>
      <c r="BQ228" s="181"/>
      <c r="BR228" s="181"/>
      <c r="BS228" s="181"/>
      <c r="BT228" s="181"/>
      <c r="CM228" s="181"/>
      <c r="CN228" s="181"/>
      <c r="CO228" s="181"/>
      <c r="CP228" s="181"/>
      <c r="CQ228" s="181"/>
    </row>
    <row r="229" spans="1:95" s="173" customFormat="1">
      <c r="A229" s="181"/>
      <c r="B229" s="181"/>
      <c r="C229" s="181"/>
      <c r="D229" s="181"/>
      <c r="E229" s="181"/>
      <c r="F229" s="181"/>
      <c r="G229" s="181"/>
      <c r="H229" s="181"/>
      <c r="I229" s="181"/>
      <c r="J229" s="181"/>
      <c r="K229" s="181"/>
      <c r="L229" s="181"/>
      <c r="M229" s="181"/>
      <c r="N229" s="181"/>
      <c r="O229" s="181"/>
      <c r="P229" s="181"/>
      <c r="Q229" s="181"/>
      <c r="R229" s="181"/>
      <c r="S229" s="181"/>
      <c r="T229" s="181"/>
      <c r="U229" s="181"/>
      <c r="V229" s="181"/>
      <c r="W229" s="181"/>
      <c r="X229" s="181"/>
      <c r="Y229" s="181"/>
      <c r="Z229" s="181"/>
      <c r="AA229" s="181"/>
      <c r="AB229" s="181"/>
      <c r="AC229" s="181"/>
      <c r="AD229" s="181"/>
      <c r="AE229" s="181"/>
      <c r="AF229" s="181"/>
      <c r="AG229" s="181"/>
      <c r="AH229" s="181"/>
      <c r="AI229" s="181"/>
      <c r="AJ229" s="181"/>
      <c r="AK229" s="181"/>
      <c r="AL229" s="181"/>
      <c r="AM229" s="181"/>
      <c r="AN229" s="181"/>
      <c r="AO229" s="181"/>
      <c r="AP229" s="181"/>
      <c r="AQ229" s="181"/>
      <c r="AR229" s="181"/>
      <c r="AS229" s="181"/>
      <c r="AT229" s="181"/>
      <c r="AU229" s="181"/>
      <c r="AV229" s="181"/>
      <c r="AW229" s="181"/>
      <c r="AX229" s="181"/>
      <c r="AY229" s="181"/>
      <c r="AZ229" s="181"/>
      <c r="BA229" s="181"/>
      <c r="BB229" s="181"/>
      <c r="BC229" s="181"/>
      <c r="BD229" s="181"/>
      <c r="BE229" s="181"/>
      <c r="BF229" s="181"/>
      <c r="BG229" s="181"/>
      <c r="BH229" s="181"/>
      <c r="BI229" s="181"/>
      <c r="BJ229" s="181"/>
      <c r="BK229" s="181"/>
      <c r="BL229" s="181"/>
      <c r="BM229" s="181"/>
      <c r="BN229" s="181"/>
      <c r="BO229" s="181"/>
      <c r="BP229" s="181"/>
      <c r="BQ229" s="181"/>
      <c r="BR229" s="181"/>
      <c r="BS229" s="181"/>
      <c r="BT229" s="181"/>
      <c r="CM229" s="181"/>
      <c r="CN229" s="181"/>
      <c r="CO229" s="181"/>
      <c r="CP229" s="181"/>
      <c r="CQ229" s="181"/>
    </row>
    <row r="230" spans="1:95" s="173" customFormat="1">
      <c r="A230" s="181"/>
      <c r="B230" s="181"/>
      <c r="C230" s="181"/>
      <c r="D230" s="181"/>
      <c r="E230" s="181"/>
      <c r="F230" s="18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181"/>
      <c r="AC230" s="181"/>
      <c r="AD230" s="181"/>
      <c r="AE230" s="181"/>
      <c r="AF230" s="181"/>
      <c r="AG230" s="181"/>
      <c r="AH230" s="181"/>
      <c r="AI230" s="181"/>
      <c r="AJ230" s="181"/>
      <c r="AK230" s="181"/>
      <c r="AL230" s="181"/>
      <c r="AM230" s="181"/>
      <c r="AN230" s="181"/>
      <c r="AO230" s="181"/>
      <c r="AP230" s="181"/>
      <c r="AQ230" s="181"/>
      <c r="AR230" s="181"/>
      <c r="AS230" s="181"/>
      <c r="AT230" s="181"/>
      <c r="AU230" s="181"/>
      <c r="AV230" s="181"/>
      <c r="AW230" s="181"/>
      <c r="AX230" s="181"/>
      <c r="AY230" s="181"/>
      <c r="AZ230" s="181"/>
      <c r="BA230" s="181"/>
      <c r="BB230" s="181"/>
      <c r="BC230" s="181"/>
      <c r="BD230" s="181"/>
      <c r="BE230" s="181"/>
      <c r="BF230" s="181"/>
      <c r="BG230" s="181"/>
      <c r="BH230" s="181"/>
      <c r="BI230" s="181"/>
      <c r="BJ230" s="181"/>
      <c r="BK230" s="181"/>
      <c r="BL230" s="181"/>
      <c r="BM230" s="181"/>
      <c r="BN230" s="181"/>
      <c r="BO230" s="181"/>
      <c r="BP230" s="181"/>
      <c r="BQ230" s="181"/>
      <c r="BR230" s="181"/>
      <c r="BS230" s="181"/>
      <c r="BT230" s="181"/>
      <c r="CM230" s="181"/>
      <c r="CN230" s="181"/>
      <c r="CO230" s="181"/>
      <c r="CP230" s="181"/>
      <c r="CQ230" s="181"/>
    </row>
    <row r="231" spans="1:95" s="173" customFormat="1">
      <c r="A231" s="181"/>
      <c r="B231" s="181"/>
      <c r="C231" s="181"/>
      <c r="D231" s="181"/>
      <c r="E231" s="181"/>
      <c r="F231" s="181"/>
      <c r="G231" s="181"/>
      <c r="H231" s="181"/>
      <c r="I231" s="181"/>
      <c r="J231" s="181"/>
      <c r="K231" s="181"/>
      <c r="L231" s="181"/>
      <c r="M231" s="181"/>
      <c r="N231" s="181"/>
      <c r="O231" s="181"/>
      <c r="P231" s="181"/>
      <c r="Q231" s="181"/>
      <c r="R231" s="181"/>
      <c r="S231" s="181"/>
      <c r="T231" s="181"/>
      <c r="U231" s="181"/>
      <c r="V231" s="181"/>
      <c r="W231" s="181"/>
      <c r="X231" s="181"/>
      <c r="Y231" s="181"/>
      <c r="Z231" s="181"/>
      <c r="AA231" s="181"/>
      <c r="AB231" s="181"/>
      <c r="AC231" s="181"/>
      <c r="AD231" s="181"/>
      <c r="AE231" s="181"/>
      <c r="AF231" s="181"/>
      <c r="AG231" s="181"/>
      <c r="AH231" s="181"/>
      <c r="AI231" s="181"/>
      <c r="AJ231" s="181"/>
      <c r="AK231" s="181"/>
      <c r="AL231" s="181"/>
      <c r="AM231" s="181"/>
      <c r="AN231" s="181"/>
      <c r="AO231" s="181"/>
      <c r="AP231" s="181"/>
      <c r="AQ231" s="181"/>
      <c r="AR231" s="181"/>
      <c r="AS231" s="181"/>
      <c r="AT231" s="181"/>
      <c r="AU231" s="181"/>
      <c r="AV231" s="181"/>
      <c r="AW231" s="181"/>
      <c r="AX231" s="181"/>
      <c r="AY231" s="181"/>
      <c r="AZ231" s="181"/>
      <c r="BA231" s="181"/>
      <c r="BB231" s="181"/>
      <c r="BC231" s="181"/>
      <c r="BD231" s="181"/>
      <c r="BE231" s="181"/>
      <c r="BF231" s="181"/>
      <c r="BG231" s="181"/>
      <c r="BH231" s="181"/>
      <c r="BI231" s="181"/>
      <c r="BJ231" s="181"/>
      <c r="BK231" s="181"/>
      <c r="BL231" s="181"/>
      <c r="BM231" s="181"/>
      <c r="BN231" s="181"/>
      <c r="BO231" s="181"/>
      <c r="BP231" s="181"/>
      <c r="BQ231" s="181"/>
      <c r="BR231" s="181"/>
      <c r="BS231" s="181"/>
      <c r="BT231" s="181"/>
      <c r="CM231" s="181"/>
      <c r="CN231" s="181"/>
      <c r="CO231" s="181"/>
      <c r="CP231" s="181"/>
      <c r="CQ231" s="181"/>
    </row>
    <row r="232" spans="1:95" s="173" customFormat="1">
      <c r="A232" s="181"/>
      <c r="B232" s="181"/>
      <c r="C232" s="181"/>
      <c r="D232" s="181"/>
      <c r="E232" s="181"/>
      <c r="F232" s="181"/>
      <c r="G232" s="181"/>
      <c r="H232" s="181"/>
      <c r="I232" s="181"/>
      <c r="J232" s="181"/>
      <c r="K232" s="181"/>
      <c r="L232" s="181"/>
      <c r="M232" s="181"/>
      <c r="N232" s="181"/>
      <c r="O232" s="181"/>
      <c r="P232" s="181"/>
      <c r="Q232" s="181"/>
      <c r="R232" s="181"/>
      <c r="S232" s="181"/>
      <c r="T232" s="181"/>
      <c r="U232" s="181"/>
      <c r="V232" s="181"/>
      <c r="W232" s="181"/>
      <c r="X232" s="181"/>
      <c r="Y232" s="181"/>
      <c r="Z232" s="181"/>
      <c r="AA232" s="181"/>
      <c r="AB232" s="181"/>
      <c r="AC232" s="181"/>
      <c r="AD232" s="181"/>
      <c r="AE232" s="181"/>
      <c r="AF232" s="181"/>
      <c r="AG232" s="181"/>
      <c r="AH232" s="181"/>
      <c r="AI232" s="181"/>
      <c r="AJ232" s="181"/>
      <c r="AK232" s="181"/>
      <c r="AL232" s="181"/>
      <c r="AM232" s="181"/>
      <c r="AN232" s="181"/>
      <c r="AO232" s="181"/>
      <c r="AP232" s="181"/>
      <c r="AQ232" s="181"/>
      <c r="AR232" s="181"/>
      <c r="AS232" s="181"/>
      <c r="AT232" s="181"/>
      <c r="AU232" s="181"/>
      <c r="AV232" s="181"/>
      <c r="AW232" s="181"/>
      <c r="AX232" s="181"/>
      <c r="AY232" s="181"/>
      <c r="AZ232" s="181"/>
      <c r="BA232" s="181"/>
      <c r="BB232" s="181"/>
      <c r="BC232" s="181"/>
      <c r="BD232" s="181"/>
      <c r="BE232" s="181"/>
      <c r="BF232" s="181"/>
      <c r="BG232" s="181"/>
      <c r="BH232" s="181"/>
      <c r="BI232" s="181"/>
      <c r="BJ232" s="181"/>
      <c r="BK232" s="181"/>
      <c r="BL232" s="181"/>
      <c r="BM232" s="181"/>
      <c r="BN232" s="181"/>
      <c r="BO232" s="181"/>
      <c r="BP232" s="181"/>
      <c r="BQ232" s="181"/>
      <c r="BR232" s="181"/>
      <c r="BS232" s="181"/>
      <c r="BT232" s="181"/>
      <c r="CM232" s="181"/>
      <c r="CN232" s="181"/>
      <c r="CO232" s="181"/>
      <c r="CP232" s="181"/>
      <c r="CQ232" s="181"/>
    </row>
    <row r="233" spans="1:95" s="173" customFormat="1">
      <c r="A233" s="181"/>
      <c r="B233" s="181"/>
      <c r="C233" s="181"/>
      <c r="D233" s="181"/>
      <c r="E233" s="181"/>
      <c r="F233" s="181"/>
      <c r="G233" s="181"/>
      <c r="H233" s="181"/>
      <c r="I233" s="181"/>
      <c r="J233" s="181"/>
      <c r="K233" s="181"/>
      <c r="L233" s="181"/>
      <c r="M233" s="181"/>
      <c r="N233" s="181"/>
      <c r="O233" s="181"/>
      <c r="P233" s="181"/>
      <c r="Q233" s="181"/>
      <c r="R233" s="181"/>
      <c r="S233" s="181"/>
      <c r="T233" s="181"/>
      <c r="U233" s="181"/>
      <c r="V233" s="181"/>
      <c r="W233" s="181"/>
      <c r="X233" s="181"/>
      <c r="Y233" s="181"/>
      <c r="Z233" s="181"/>
      <c r="AA233" s="181"/>
      <c r="AB233" s="181"/>
      <c r="AC233" s="181"/>
      <c r="AD233" s="181"/>
      <c r="AE233" s="181"/>
      <c r="AF233" s="181"/>
      <c r="AG233" s="181"/>
      <c r="AH233" s="181"/>
      <c r="AI233" s="181"/>
      <c r="AJ233" s="181"/>
      <c r="AK233" s="181"/>
      <c r="AL233" s="181"/>
      <c r="AM233" s="181"/>
      <c r="AN233" s="181"/>
      <c r="AO233" s="181"/>
      <c r="AP233" s="181"/>
      <c r="AQ233" s="181"/>
      <c r="AR233" s="181"/>
      <c r="AS233" s="181"/>
      <c r="AT233" s="181"/>
      <c r="AU233" s="181"/>
      <c r="AV233" s="181"/>
      <c r="AW233" s="181"/>
      <c r="AX233" s="181"/>
      <c r="AY233" s="181"/>
      <c r="AZ233" s="181"/>
      <c r="BA233" s="181"/>
      <c r="BB233" s="181"/>
      <c r="BC233" s="181"/>
      <c r="BD233" s="181"/>
      <c r="BE233" s="181"/>
      <c r="BF233" s="181"/>
      <c r="BG233" s="181"/>
      <c r="BH233" s="181"/>
      <c r="BI233" s="181"/>
      <c r="BJ233" s="181"/>
      <c r="BK233" s="181"/>
      <c r="BL233" s="181"/>
      <c r="BM233" s="181"/>
      <c r="BN233" s="181"/>
      <c r="BO233" s="181"/>
      <c r="BP233" s="181"/>
      <c r="BQ233" s="181"/>
      <c r="BR233" s="181"/>
      <c r="BS233" s="181"/>
      <c r="BT233" s="181"/>
      <c r="CM233" s="181"/>
      <c r="CN233" s="181"/>
      <c r="CO233" s="181"/>
      <c r="CP233" s="181"/>
      <c r="CQ233" s="181"/>
    </row>
    <row r="234" spans="1:95" s="173" customFormat="1">
      <c r="A234" s="181"/>
      <c r="B234" s="181"/>
      <c r="C234" s="181"/>
      <c r="D234" s="181"/>
      <c r="E234" s="181"/>
      <c r="F234" s="181"/>
      <c r="G234" s="181"/>
      <c r="H234" s="181"/>
      <c r="I234" s="181"/>
      <c r="J234" s="181"/>
      <c r="K234" s="181"/>
      <c r="L234" s="181"/>
      <c r="M234" s="181"/>
      <c r="N234" s="181"/>
      <c r="O234" s="181"/>
      <c r="P234" s="181"/>
      <c r="Q234" s="181"/>
      <c r="R234" s="181"/>
      <c r="S234" s="181"/>
      <c r="T234" s="181"/>
      <c r="U234" s="181"/>
      <c r="V234" s="181"/>
      <c r="W234" s="181"/>
      <c r="X234" s="181"/>
      <c r="Y234" s="181"/>
      <c r="Z234" s="181"/>
      <c r="AA234" s="181"/>
      <c r="AB234" s="181"/>
      <c r="AC234" s="181"/>
      <c r="AD234" s="181"/>
      <c r="AE234" s="181"/>
      <c r="AF234" s="181"/>
      <c r="AG234" s="181"/>
      <c r="AH234" s="181"/>
      <c r="AI234" s="181"/>
      <c r="AJ234" s="181"/>
      <c r="AK234" s="181"/>
      <c r="AL234" s="181"/>
      <c r="AM234" s="181"/>
      <c r="AN234" s="181"/>
      <c r="AO234" s="181"/>
      <c r="AP234" s="181"/>
      <c r="AQ234" s="181"/>
      <c r="AR234" s="181"/>
      <c r="AS234" s="181"/>
      <c r="AT234" s="181"/>
      <c r="AU234" s="181"/>
      <c r="AV234" s="181"/>
      <c r="AW234" s="181"/>
      <c r="AX234" s="181"/>
      <c r="AY234" s="181"/>
      <c r="AZ234" s="181"/>
      <c r="BA234" s="181"/>
      <c r="BB234" s="181"/>
      <c r="BC234" s="181"/>
      <c r="BD234" s="181"/>
      <c r="BE234" s="181"/>
      <c r="BF234" s="181"/>
      <c r="BG234" s="181"/>
      <c r="BH234" s="181"/>
      <c r="BI234" s="181"/>
      <c r="BJ234" s="181"/>
      <c r="BK234" s="181"/>
      <c r="BL234" s="181"/>
      <c r="BM234" s="181"/>
      <c r="BN234" s="181"/>
      <c r="BO234" s="181"/>
      <c r="BP234" s="181"/>
      <c r="BQ234" s="181"/>
      <c r="BR234" s="181"/>
      <c r="BS234" s="181"/>
      <c r="BT234" s="181"/>
      <c r="CM234" s="181"/>
      <c r="CN234" s="181"/>
      <c r="CO234" s="181"/>
      <c r="CP234" s="181"/>
      <c r="CQ234" s="181"/>
    </row>
    <row r="235" spans="1:95" s="173" customFormat="1">
      <c r="A235" s="181"/>
      <c r="B235" s="181"/>
      <c r="C235" s="181"/>
      <c r="D235" s="181"/>
      <c r="E235" s="181"/>
      <c r="F235" s="181"/>
      <c r="G235" s="181"/>
      <c r="H235" s="181"/>
      <c r="I235" s="181"/>
      <c r="J235" s="181"/>
      <c r="K235" s="181"/>
      <c r="L235" s="181"/>
      <c r="M235" s="181"/>
      <c r="N235" s="181"/>
      <c r="O235" s="181"/>
      <c r="P235" s="181"/>
      <c r="Q235" s="181"/>
      <c r="R235" s="181"/>
      <c r="S235" s="181"/>
      <c r="T235" s="181"/>
      <c r="U235" s="181"/>
      <c r="V235" s="181"/>
      <c r="W235" s="181"/>
      <c r="X235" s="181"/>
      <c r="Y235" s="181"/>
      <c r="Z235" s="181"/>
      <c r="AA235" s="181"/>
      <c r="AB235" s="181"/>
      <c r="AC235" s="181"/>
      <c r="AD235" s="181"/>
      <c r="AE235" s="181"/>
      <c r="AF235" s="181"/>
      <c r="AG235" s="181"/>
      <c r="AH235" s="181"/>
      <c r="AI235" s="181"/>
      <c r="AJ235" s="181"/>
      <c r="AK235" s="181"/>
      <c r="AL235" s="181"/>
      <c r="AM235" s="181"/>
      <c r="AN235" s="181"/>
      <c r="AO235" s="181"/>
      <c r="AP235" s="181"/>
      <c r="AQ235" s="181"/>
      <c r="AR235" s="181"/>
      <c r="AS235" s="181"/>
      <c r="AT235" s="181"/>
      <c r="AU235" s="181"/>
      <c r="AV235" s="181"/>
      <c r="AW235" s="181"/>
      <c r="AX235" s="181"/>
      <c r="AY235" s="181"/>
      <c r="AZ235" s="181"/>
      <c r="BA235" s="181"/>
      <c r="BB235" s="181"/>
      <c r="BC235" s="181"/>
      <c r="BD235" s="181"/>
      <c r="BE235" s="181"/>
      <c r="BF235" s="181"/>
      <c r="BG235" s="181"/>
      <c r="BH235" s="181"/>
      <c r="BI235" s="181"/>
      <c r="BJ235" s="181"/>
      <c r="BK235" s="181"/>
      <c r="BL235" s="181"/>
      <c r="BM235" s="181"/>
      <c r="BN235" s="181"/>
      <c r="BO235" s="181"/>
      <c r="BP235" s="181"/>
      <c r="BQ235" s="181"/>
      <c r="BR235" s="181"/>
      <c r="BS235" s="181"/>
      <c r="BT235" s="181"/>
      <c r="CM235" s="181"/>
      <c r="CN235" s="181"/>
      <c r="CO235" s="181"/>
      <c r="CP235" s="181"/>
      <c r="CQ235" s="181"/>
    </row>
    <row r="236" spans="1:95" s="173" customFormat="1">
      <c r="A236" s="181"/>
      <c r="B236" s="181"/>
      <c r="C236" s="181"/>
      <c r="D236" s="181"/>
      <c r="E236" s="181"/>
      <c r="F236" s="181"/>
      <c r="G236" s="181"/>
      <c r="H236" s="181"/>
      <c r="I236" s="181"/>
      <c r="J236" s="181"/>
      <c r="K236" s="181"/>
      <c r="L236" s="181"/>
      <c r="M236" s="181"/>
      <c r="N236" s="181"/>
      <c r="O236" s="181"/>
      <c r="P236" s="181"/>
      <c r="Q236" s="181"/>
      <c r="R236" s="181"/>
      <c r="S236" s="181"/>
      <c r="T236" s="181"/>
      <c r="U236" s="181"/>
      <c r="V236" s="181"/>
      <c r="W236" s="181"/>
      <c r="X236" s="181"/>
      <c r="Y236" s="181"/>
      <c r="Z236" s="181"/>
      <c r="AA236" s="181"/>
      <c r="AB236" s="181"/>
      <c r="AC236" s="181"/>
      <c r="AD236" s="181"/>
      <c r="AE236" s="181"/>
      <c r="AF236" s="181"/>
      <c r="AG236" s="181"/>
      <c r="AH236" s="181"/>
      <c r="AI236" s="181"/>
      <c r="AJ236" s="181"/>
      <c r="AK236" s="181"/>
      <c r="AL236" s="181"/>
      <c r="AM236" s="181"/>
      <c r="AN236" s="181"/>
      <c r="AO236" s="181"/>
      <c r="AP236" s="181"/>
      <c r="AQ236" s="181"/>
      <c r="AR236" s="181"/>
      <c r="AS236" s="181"/>
      <c r="AT236" s="181"/>
      <c r="AU236" s="181"/>
      <c r="AV236" s="181"/>
      <c r="AW236" s="181"/>
      <c r="AX236" s="181"/>
      <c r="AY236" s="181"/>
      <c r="AZ236" s="181"/>
      <c r="BA236" s="181"/>
      <c r="BB236" s="181"/>
      <c r="BC236" s="181"/>
      <c r="BD236" s="181"/>
      <c r="BE236" s="181"/>
      <c r="BF236" s="181"/>
      <c r="BG236" s="181"/>
      <c r="BH236" s="181"/>
      <c r="BI236" s="181"/>
      <c r="BJ236" s="181"/>
      <c r="BK236" s="181"/>
      <c r="BL236" s="181"/>
      <c r="BM236" s="181"/>
      <c r="BN236" s="181"/>
      <c r="BO236" s="181"/>
      <c r="BP236" s="181"/>
      <c r="BQ236" s="181"/>
      <c r="BR236" s="181"/>
      <c r="BS236" s="181"/>
      <c r="BT236" s="181"/>
      <c r="CM236" s="181"/>
      <c r="CN236" s="181"/>
      <c r="CO236" s="181"/>
      <c r="CP236" s="181"/>
      <c r="CQ236" s="181"/>
    </row>
    <row r="237" spans="1:95" s="173" customFormat="1">
      <c r="A237" s="181"/>
      <c r="B237" s="181"/>
      <c r="C237" s="181"/>
      <c r="D237" s="181"/>
      <c r="E237" s="181"/>
      <c r="F237" s="181"/>
      <c r="G237" s="181"/>
      <c r="H237" s="181"/>
      <c r="I237" s="181"/>
      <c r="J237" s="181"/>
      <c r="K237" s="181"/>
      <c r="L237" s="181"/>
      <c r="M237" s="181"/>
      <c r="N237" s="181"/>
      <c r="O237" s="181"/>
      <c r="P237" s="181"/>
      <c r="Q237" s="181"/>
      <c r="R237" s="181"/>
      <c r="S237" s="181"/>
      <c r="T237" s="181"/>
      <c r="U237" s="181"/>
      <c r="V237" s="181"/>
      <c r="W237" s="181"/>
      <c r="X237" s="181"/>
      <c r="Y237" s="181"/>
      <c r="Z237" s="181"/>
      <c r="AA237" s="181"/>
      <c r="AB237" s="181"/>
      <c r="AC237" s="181"/>
      <c r="AD237" s="181"/>
      <c r="AE237" s="181"/>
      <c r="AF237" s="181"/>
      <c r="AG237" s="181"/>
      <c r="AH237" s="181"/>
      <c r="AI237" s="181"/>
      <c r="AJ237" s="181"/>
      <c r="AK237" s="181"/>
      <c r="AL237" s="181"/>
      <c r="AM237" s="181"/>
      <c r="AN237" s="181"/>
      <c r="AO237" s="181"/>
      <c r="AP237" s="181"/>
      <c r="AQ237" s="181"/>
      <c r="AR237" s="181"/>
      <c r="AS237" s="181"/>
      <c r="AT237" s="181"/>
      <c r="AU237" s="181"/>
      <c r="AV237" s="181"/>
      <c r="AW237" s="181"/>
      <c r="AX237" s="181"/>
      <c r="AY237" s="181"/>
      <c r="AZ237" s="181"/>
      <c r="BA237" s="181"/>
      <c r="BB237" s="181"/>
      <c r="BC237" s="181"/>
      <c r="BD237" s="181"/>
      <c r="BE237" s="181"/>
      <c r="BF237" s="181"/>
      <c r="BG237" s="181"/>
      <c r="BH237" s="181"/>
      <c r="BI237" s="181"/>
      <c r="BJ237" s="181"/>
      <c r="BK237" s="181"/>
      <c r="BL237" s="181"/>
      <c r="BM237" s="181"/>
      <c r="BN237" s="181"/>
      <c r="BO237" s="181"/>
      <c r="BP237" s="181"/>
      <c r="BQ237" s="181"/>
      <c r="BR237" s="181"/>
      <c r="BS237" s="181"/>
      <c r="BT237" s="181"/>
      <c r="CM237" s="181"/>
      <c r="CN237" s="181"/>
      <c r="CO237" s="181"/>
      <c r="CP237" s="181"/>
      <c r="CQ237" s="181"/>
    </row>
    <row r="238" spans="1:95" s="173" customFormat="1">
      <c r="A238" s="181"/>
      <c r="B238" s="181"/>
      <c r="C238" s="181"/>
      <c r="D238" s="181"/>
      <c r="E238" s="181"/>
      <c r="F238" s="181"/>
      <c r="G238" s="181"/>
      <c r="H238" s="181"/>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c r="AG238" s="181"/>
      <c r="AH238" s="181"/>
      <c r="AI238" s="181"/>
      <c r="AJ238" s="181"/>
      <c r="AK238" s="181"/>
      <c r="AL238" s="181"/>
      <c r="AM238" s="181"/>
      <c r="AN238" s="181"/>
      <c r="AO238" s="181"/>
      <c r="AP238" s="181"/>
      <c r="AQ238" s="181"/>
      <c r="AR238" s="181"/>
      <c r="AS238" s="181"/>
      <c r="AT238" s="181"/>
      <c r="AU238" s="181"/>
      <c r="AV238" s="181"/>
      <c r="AW238" s="181"/>
      <c r="AX238" s="181"/>
      <c r="AY238" s="181"/>
      <c r="AZ238" s="181"/>
      <c r="BA238" s="181"/>
      <c r="BB238" s="181"/>
      <c r="BC238" s="181"/>
      <c r="BD238" s="181"/>
      <c r="BE238" s="181"/>
      <c r="BF238" s="181"/>
      <c r="BG238" s="181"/>
      <c r="BH238" s="181"/>
      <c r="BI238" s="181"/>
      <c r="BJ238" s="181"/>
      <c r="BK238" s="181"/>
      <c r="BL238" s="181"/>
      <c r="BM238" s="181"/>
      <c r="BN238" s="181"/>
      <c r="BO238" s="181"/>
      <c r="BP238" s="181"/>
      <c r="BQ238" s="181"/>
      <c r="BR238" s="181"/>
      <c r="BS238" s="181"/>
      <c r="BT238" s="181"/>
      <c r="CM238" s="181"/>
      <c r="CN238" s="181"/>
      <c r="CO238" s="181"/>
      <c r="CP238" s="181"/>
      <c r="CQ238" s="181"/>
    </row>
    <row r="239" spans="1:95" s="173" customFormat="1">
      <c r="A239" s="181"/>
      <c r="B239" s="181"/>
      <c r="C239" s="181"/>
      <c r="D239" s="181"/>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181"/>
      <c r="AC239" s="181"/>
      <c r="AD239" s="181"/>
      <c r="AE239" s="181"/>
      <c r="AF239" s="181"/>
      <c r="AG239" s="181"/>
      <c r="AH239" s="181"/>
      <c r="AI239" s="181"/>
      <c r="AJ239" s="181"/>
      <c r="AK239" s="181"/>
      <c r="AL239" s="181"/>
      <c r="AM239" s="181"/>
      <c r="AN239" s="181"/>
      <c r="AO239" s="181"/>
      <c r="AP239" s="181"/>
      <c r="AQ239" s="181"/>
      <c r="AR239" s="181"/>
      <c r="AS239" s="181"/>
      <c r="AT239" s="181"/>
      <c r="AU239" s="181"/>
      <c r="AV239" s="181"/>
      <c r="AW239" s="181"/>
      <c r="AX239" s="181"/>
      <c r="AY239" s="181"/>
      <c r="AZ239" s="181"/>
      <c r="BA239" s="181"/>
      <c r="BB239" s="181"/>
      <c r="BC239" s="181"/>
      <c r="BD239" s="181"/>
      <c r="BE239" s="181"/>
      <c r="BF239" s="181"/>
      <c r="BG239" s="181"/>
      <c r="BH239" s="181"/>
      <c r="BI239" s="181"/>
      <c r="BJ239" s="181"/>
      <c r="BK239" s="181"/>
      <c r="BL239" s="181"/>
      <c r="BM239" s="181"/>
      <c r="BN239" s="181"/>
      <c r="BO239" s="181"/>
      <c r="BP239" s="181"/>
      <c r="BQ239" s="181"/>
      <c r="BR239" s="181"/>
      <c r="BS239" s="181"/>
      <c r="BT239" s="181"/>
      <c r="CM239" s="181"/>
      <c r="CN239" s="181"/>
      <c r="CO239" s="181"/>
      <c r="CP239" s="181"/>
      <c r="CQ239" s="181"/>
    </row>
    <row r="240" spans="1:95" s="173" customFormat="1">
      <c r="A240" s="181"/>
      <c r="B240" s="181"/>
      <c r="C240" s="181"/>
      <c r="D240" s="181"/>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181"/>
      <c r="AC240" s="181"/>
      <c r="AD240" s="181"/>
      <c r="AE240" s="181"/>
      <c r="AF240" s="181"/>
      <c r="AG240" s="181"/>
      <c r="AH240" s="181"/>
      <c r="AI240" s="181"/>
      <c r="AJ240" s="181"/>
      <c r="AK240" s="181"/>
      <c r="AL240" s="181"/>
      <c r="AM240" s="181"/>
      <c r="AN240" s="181"/>
      <c r="AO240" s="181"/>
      <c r="AP240" s="181"/>
      <c r="AQ240" s="181"/>
      <c r="AR240" s="181"/>
      <c r="AS240" s="181"/>
      <c r="AT240" s="181"/>
      <c r="AU240" s="181"/>
      <c r="AV240" s="181"/>
      <c r="AW240" s="181"/>
      <c r="AX240" s="181"/>
      <c r="AY240" s="181"/>
      <c r="AZ240" s="181"/>
      <c r="BA240" s="181"/>
      <c r="BB240" s="181"/>
      <c r="BC240" s="181"/>
      <c r="BD240" s="181"/>
      <c r="BE240" s="181"/>
      <c r="BF240" s="181"/>
      <c r="BG240" s="181"/>
      <c r="BH240" s="181"/>
      <c r="BI240" s="181"/>
      <c r="BJ240" s="181"/>
      <c r="BK240" s="181"/>
      <c r="BL240" s="181"/>
      <c r="BM240" s="181"/>
      <c r="BN240" s="181"/>
      <c r="BO240" s="181"/>
      <c r="BP240" s="181"/>
      <c r="BQ240" s="181"/>
      <c r="BR240" s="181"/>
      <c r="BS240" s="181"/>
      <c r="BT240" s="181"/>
      <c r="CM240" s="181"/>
      <c r="CN240" s="181"/>
      <c r="CO240" s="181"/>
      <c r="CP240" s="181"/>
      <c r="CQ240" s="181"/>
    </row>
    <row r="241" spans="1:95" s="173" customFormat="1">
      <c r="A241" s="181"/>
      <c r="B241" s="181"/>
      <c r="C241" s="181"/>
      <c r="D241" s="181"/>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181"/>
      <c r="AC241" s="181"/>
      <c r="AD241" s="181"/>
      <c r="AE241" s="181"/>
      <c r="AF241" s="181"/>
      <c r="AG241" s="181"/>
      <c r="AH241" s="181"/>
      <c r="AI241" s="181"/>
      <c r="AJ241" s="181"/>
      <c r="AK241" s="181"/>
      <c r="AL241" s="181"/>
      <c r="AM241" s="181"/>
      <c r="AN241" s="181"/>
      <c r="AO241" s="181"/>
      <c r="AP241" s="181"/>
      <c r="AQ241" s="181"/>
      <c r="AR241" s="181"/>
      <c r="AS241" s="181"/>
      <c r="AT241" s="181"/>
      <c r="AU241" s="181"/>
      <c r="AV241" s="181"/>
      <c r="AW241" s="181"/>
      <c r="AX241" s="181"/>
      <c r="AY241" s="181"/>
      <c r="AZ241" s="181"/>
      <c r="BA241" s="181"/>
      <c r="BB241" s="181"/>
      <c r="BC241" s="181"/>
      <c r="BD241" s="181"/>
      <c r="BE241" s="181"/>
      <c r="BF241" s="181"/>
      <c r="BG241" s="181"/>
      <c r="BH241" s="181"/>
      <c r="BI241" s="181"/>
      <c r="BJ241" s="181"/>
      <c r="BK241" s="181"/>
      <c r="BL241" s="181"/>
      <c r="BM241" s="181"/>
      <c r="BN241" s="181"/>
      <c r="BO241" s="181"/>
      <c r="BP241" s="181"/>
      <c r="BQ241" s="181"/>
      <c r="BR241" s="181"/>
      <c r="BS241" s="181"/>
      <c r="BT241" s="181"/>
      <c r="CM241" s="181"/>
      <c r="CN241" s="181"/>
      <c r="CO241" s="181"/>
      <c r="CP241" s="181"/>
      <c r="CQ241" s="181"/>
    </row>
    <row r="242" spans="1:95" s="173" customFormat="1">
      <c r="A242" s="181"/>
      <c r="B242" s="181"/>
      <c r="C242" s="181"/>
      <c r="D242" s="181"/>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181"/>
      <c r="AC242" s="181"/>
      <c r="AD242" s="181"/>
      <c r="AE242" s="181"/>
      <c r="AF242" s="181"/>
      <c r="AG242" s="181"/>
      <c r="AH242" s="181"/>
      <c r="AI242" s="181"/>
      <c r="AJ242" s="181"/>
      <c r="AK242" s="181"/>
      <c r="AL242" s="181"/>
      <c r="AM242" s="181"/>
      <c r="AN242" s="181"/>
      <c r="AO242" s="181"/>
      <c r="AP242" s="181"/>
      <c r="AQ242" s="181"/>
      <c r="AR242" s="181"/>
      <c r="AS242" s="181"/>
      <c r="AT242" s="181"/>
      <c r="AU242" s="181"/>
      <c r="AV242" s="181"/>
      <c r="AW242" s="181"/>
      <c r="AX242" s="181"/>
      <c r="AY242" s="181"/>
      <c r="AZ242" s="181"/>
      <c r="BA242" s="181"/>
      <c r="BB242" s="181"/>
      <c r="BC242" s="181"/>
      <c r="BD242" s="181"/>
      <c r="BE242" s="181"/>
      <c r="BF242" s="181"/>
      <c r="BG242" s="181"/>
      <c r="BH242" s="181"/>
      <c r="BI242" s="181"/>
      <c r="BJ242" s="181"/>
      <c r="BK242" s="181"/>
      <c r="BL242" s="181"/>
      <c r="BM242" s="181"/>
      <c r="BN242" s="181"/>
      <c r="BO242" s="181"/>
      <c r="BP242" s="181"/>
      <c r="BQ242" s="181"/>
      <c r="BR242" s="181"/>
      <c r="BS242" s="181"/>
      <c r="BT242" s="181"/>
      <c r="CM242" s="181"/>
      <c r="CN242" s="181"/>
      <c r="CO242" s="181"/>
      <c r="CP242" s="181"/>
      <c r="CQ242" s="181"/>
    </row>
    <row r="243" spans="1:95" s="173" customFormat="1">
      <c r="A243" s="181"/>
      <c r="B243" s="181"/>
      <c r="C243" s="181"/>
      <c r="D243" s="181"/>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181"/>
      <c r="AC243" s="181"/>
      <c r="AD243" s="181"/>
      <c r="AE243" s="181"/>
      <c r="AF243" s="181"/>
      <c r="AG243" s="181"/>
      <c r="AH243" s="181"/>
      <c r="AI243" s="181"/>
      <c r="AJ243" s="181"/>
      <c r="AK243" s="181"/>
      <c r="AL243" s="181"/>
      <c r="AM243" s="181"/>
      <c r="AN243" s="181"/>
      <c r="AO243" s="181"/>
      <c r="AP243" s="181"/>
      <c r="AQ243" s="181"/>
      <c r="AR243" s="181"/>
      <c r="AS243" s="181"/>
      <c r="AT243" s="181"/>
      <c r="AU243" s="181"/>
      <c r="AV243" s="181"/>
      <c r="AW243" s="181"/>
      <c r="AX243" s="181"/>
      <c r="AY243" s="181"/>
      <c r="AZ243" s="181"/>
      <c r="BA243" s="181"/>
      <c r="BB243" s="181"/>
      <c r="BC243" s="181"/>
      <c r="BD243" s="181"/>
      <c r="BE243" s="181"/>
      <c r="BF243" s="181"/>
      <c r="BG243" s="181"/>
      <c r="BH243" s="181"/>
      <c r="BI243" s="181"/>
      <c r="BJ243" s="181"/>
      <c r="BK243" s="181"/>
      <c r="BL243" s="181"/>
      <c r="BM243" s="181"/>
      <c r="BN243" s="181"/>
      <c r="BO243" s="181"/>
      <c r="BP243" s="181"/>
      <c r="BQ243" s="181"/>
      <c r="BR243" s="181"/>
      <c r="BS243" s="181"/>
      <c r="BT243" s="181"/>
      <c r="CM243" s="181"/>
      <c r="CN243" s="181"/>
      <c r="CO243" s="181"/>
      <c r="CP243" s="181"/>
      <c r="CQ243" s="181"/>
    </row>
    <row r="244" spans="1:95" s="173" customFormat="1">
      <c r="A244" s="181"/>
      <c r="B244" s="181"/>
      <c r="C244" s="181"/>
      <c r="D244" s="181"/>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181"/>
      <c r="AC244" s="181"/>
      <c r="AD244" s="181"/>
      <c r="AE244" s="181"/>
      <c r="AF244" s="181"/>
      <c r="AG244" s="181"/>
      <c r="AH244" s="181"/>
      <c r="AI244" s="181"/>
      <c r="AJ244" s="181"/>
      <c r="AK244" s="181"/>
      <c r="AL244" s="181"/>
      <c r="AM244" s="181"/>
      <c r="AN244" s="181"/>
      <c r="AO244" s="181"/>
      <c r="AP244" s="181"/>
      <c r="AQ244" s="181"/>
      <c r="AR244" s="181"/>
      <c r="AS244" s="181"/>
      <c r="AT244" s="181"/>
      <c r="AU244" s="181"/>
      <c r="AV244" s="181"/>
      <c r="AW244" s="181"/>
      <c r="AX244" s="181"/>
      <c r="AY244" s="181"/>
      <c r="AZ244" s="181"/>
      <c r="BA244" s="181"/>
      <c r="BB244" s="181"/>
      <c r="BC244" s="181"/>
      <c r="BD244" s="181"/>
      <c r="BE244" s="181"/>
      <c r="BF244" s="181"/>
      <c r="BG244" s="181"/>
      <c r="BH244" s="181"/>
      <c r="BI244" s="181"/>
      <c r="BJ244" s="181"/>
      <c r="BK244" s="181"/>
      <c r="BL244" s="181"/>
      <c r="BM244" s="181"/>
      <c r="BN244" s="181"/>
      <c r="BO244" s="181"/>
      <c r="BP244" s="181"/>
      <c r="BQ244" s="181"/>
      <c r="BR244" s="181"/>
      <c r="BS244" s="181"/>
      <c r="BT244" s="181"/>
      <c r="CM244" s="181"/>
      <c r="CN244" s="181"/>
      <c r="CO244" s="181"/>
      <c r="CP244" s="181"/>
      <c r="CQ244" s="181"/>
    </row>
    <row r="245" spans="1:95" s="173" customFormat="1">
      <c r="A245" s="181"/>
      <c r="B245" s="181"/>
      <c r="C245" s="181"/>
      <c r="D245" s="181"/>
      <c r="E245" s="181"/>
      <c r="F245" s="181"/>
      <c r="G245" s="181"/>
      <c r="H245" s="181"/>
      <c r="I245" s="181"/>
      <c r="J245" s="181"/>
      <c r="K245" s="181"/>
      <c r="L245" s="181"/>
      <c r="M245" s="181"/>
      <c r="N245" s="181"/>
      <c r="O245" s="181"/>
      <c r="P245" s="181"/>
      <c r="Q245" s="181"/>
      <c r="R245" s="181"/>
      <c r="S245" s="181"/>
      <c r="T245" s="181"/>
      <c r="U245" s="181"/>
      <c r="V245" s="181"/>
      <c r="W245" s="181"/>
      <c r="X245" s="181"/>
      <c r="Y245" s="181"/>
      <c r="Z245" s="181"/>
      <c r="AA245" s="181"/>
      <c r="AB245" s="181"/>
      <c r="AC245" s="181"/>
      <c r="AD245" s="181"/>
      <c r="AE245" s="181"/>
      <c r="AF245" s="181"/>
      <c r="AG245" s="181"/>
      <c r="AH245" s="181"/>
      <c r="AI245" s="181"/>
      <c r="AJ245" s="181"/>
      <c r="AK245" s="181"/>
      <c r="AL245" s="181"/>
      <c r="AM245" s="181"/>
      <c r="AN245" s="181"/>
      <c r="AO245" s="181"/>
      <c r="AP245" s="181"/>
      <c r="AQ245" s="181"/>
      <c r="AR245" s="181"/>
      <c r="AS245" s="181"/>
      <c r="AT245" s="181"/>
      <c r="AU245" s="181"/>
      <c r="AV245" s="181"/>
      <c r="AW245" s="181"/>
      <c r="AX245" s="181"/>
      <c r="AY245" s="181"/>
      <c r="AZ245" s="181"/>
      <c r="BA245" s="181"/>
      <c r="BB245" s="181"/>
      <c r="BC245" s="181"/>
      <c r="BD245" s="181"/>
      <c r="BE245" s="181"/>
      <c r="BF245" s="181"/>
      <c r="BG245" s="181"/>
      <c r="BH245" s="181"/>
      <c r="BI245" s="181"/>
      <c r="BJ245" s="181"/>
      <c r="BK245" s="181"/>
      <c r="BL245" s="181"/>
      <c r="BM245" s="181"/>
      <c r="BN245" s="181"/>
      <c r="BO245" s="181"/>
      <c r="BP245" s="181"/>
      <c r="BQ245" s="181"/>
      <c r="BR245" s="181"/>
      <c r="BS245" s="181"/>
      <c r="BT245" s="181"/>
      <c r="CM245" s="181"/>
      <c r="CN245" s="181"/>
      <c r="CO245" s="181"/>
      <c r="CP245" s="181"/>
      <c r="CQ245" s="181"/>
    </row>
    <row r="246" spans="1:95" s="173" customFormat="1">
      <c r="A246" s="181"/>
      <c r="B246" s="181"/>
      <c r="C246" s="181"/>
      <c r="D246" s="181"/>
      <c r="E246" s="181"/>
      <c r="F246" s="181"/>
      <c r="G246" s="181"/>
      <c r="H246" s="181"/>
      <c r="I246" s="181"/>
      <c r="J246" s="181"/>
      <c r="K246" s="181"/>
      <c r="L246" s="181"/>
      <c r="M246" s="181"/>
      <c r="N246" s="181"/>
      <c r="O246" s="181"/>
      <c r="P246" s="181"/>
      <c r="Q246" s="181"/>
      <c r="R246" s="181"/>
      <c r="S246" s="181"/>
      <c r="T246" s="181"/>
      <c r="U246" s="181"/>
      <c r="V246" s="181"/>
      <c r="W246" s="181"/>
      <c r="X246" s="181"/>
      <c r="Y246" s="181"/>
      <c r="Z246" s="181"/>
      <c r="AA246" s="181"/>
      <c r="AB246" s="181"/>
      <c r="AC246" s="181"/>
      <c r="AD246" s="181"/>
      <c r="AE246" s="181"/>
      <c r="AF246" s="181"/>
      <c r="AG246" s="181"/>
      <c r="AH246" s="181"/>
      <c r="AI246" s="181"/>
      <c r="AJ246" s="181"/>
      <c r="AK246" s="181"/>
      <c r="AL246" s="181"/>
      <c r="AM246" s="181"/>
      <c r="AN246" s="181"/>
      <c r="AO246" s="181"/>
      <c r="AP246" s="181"/>
      <c r="AQ246" s="181"/>
      <c r="AR246" s="181"/>
      <c r="AS246" s="181"/>
      <c r="AT246" s="181"/>
      <c r="AU246" s="181"/>
      <c r="AV246" s="181"/>
      <c r="AW246" s="181"/>
      <c r="AX246" s="181"/>
      <c r="AY246" s="181"/>
      <c r="AZ246" s="181"/>
      <c r="BA246" s="181"/>
      <c r="BB246" s="181"/>
      <c r="BC246" s="181"/>
      <c r="BD246" s="181"/>
      <c r="BE246" s="181"/>
      <c r="BF246" s="181"/>
      <c r="BG246" s="181"/>
      <c r="BH246" s="181"/>
      <c r="BI246" s="181"/>
      <c r="BJ246" s="181"/>
      <c r="BK246" s="181"/>
      <c r="BL246" s="181"/>
      <c r="BM246" s="181"/>
      <c r="BN246" s="181"/>
      <c r="BO246" s="181"/>
      <c r="BP246" s="181"/>
      <c r="BQ246" s="181"/>
      <c r="BR246" s="181"/>
      <c r="BS246" s="181"/>
      <c r="BT246" s="181"/>
      <c r="CM246" s="181"/>
      <c r="CN246" s="181"/>
      <c r="CO246" s="181"/>
      <c r="CP246" s="181"/>
      <c r="CQ246" s="181"/>
    </row>
    <row r="247" spans="1:95" s="173" customFormat="1">
      <c r="A247" s="181"/>
      <c r="B247" s="181"/>
      <c r="C247" s="181"/>
      <c r="D247" s="181"/>
      <c r="E247" s="181"/>
      <c r="F247" s="181"/>
      <c r="G247" s="181"/>
      <c r="H247" s="181"/>
      <c r="I247" s="181"/>
      <c r="J247" s="181"/>
      <c r="K247" s="181"/>
      <c r="L247" s="181"/>
      <c r="M247" s="181"/>
      <c r="N247" s="181"/>
      <c r="O247" s="181"/>
      <c r="P247" s="181"/>
      <c r="Q247" s="181"/>
      <c r="R247" s="181"/>
      <c r="S247" s="181"/>
      <c r="T247" s="181"/>
      <c r="U247" s="181"/>
      <c r="V247" s="181"/>
      <c r="W247" s="181"/>
      <c r="X247" s="181"/>
      <c r="Y247" s="181"/>
      <c r="Z247" s="181"/>
      <c r="AA247" s="181"/>
      <c r="AB247" s="181"/>
      <c r="AC247" s="181"/>
      <c r="AD247" s="181"/>
      <c r="AE247" s="181"/>
      <c r="AF247" s="181"/>
      <c r="AG247" s="181"/>
      <c r="AH247" s="181"/>
      <c r="AI247" s="181"/>
      <c r="AJ247" s="181"/>
      <c r="AK247" s="181"/>
      <c r="AL247" s="181"/>
      <c r="AM247" s="181"/>
      <c r="AN247" s="181"/>
      <c r="AO247" s="181"/>
      <c r="AP247" s="181"/>
      <c r="AQ247" s="181"/>
      <c r="AR247" s="181"/>
      <c r="AS247" s="181"/>
      <c r="AT247" s="181"/>
      <c r="AU247" s="181"/>
      <c r="AV247" s="181"/>
      <c r="AW247" s="181"/>
      <c r="AX247" s="181"/>
      <c r="AY247" s="181"/>
      <c r="AZ247" s="181"/>
      <c r="BA247" s="181"/>
      <c r="BB247" s="181"/>
      <c r="BC247" s="181"/>
      <c r="BD247" s="181"/>
      <c r="BE247" s="181"/>
      <c r="BF247" s="181"/>
      <c r="BG247" s="181"/>
      <c r="BH247" s="181"/>
      <c r="BI247" s="181"/>
      <c r="BJ247" s="181"/>
      <c r="BK247" s="181"/>
      <c r="BL247" s="181"/>
      <c r="BM247" s="181"/>
      <c r="BN247" s="181"/>
      <c r="BO247" s="181"/>
      <c r="BP247" s="181"/>
      <c r="BQ247" s="181"/>
      <c r="BR247" s="181"/>
      <c r="BS247" s="181"/>
      <c r="BT247" s="181"/>
      <c r="CM247" s="181"/>
      <c r="CN247" s="181"/>
      <c r="CO247" s="181"/>
      <c r="CP247" s="181"/>
      <c r="CQ247" s="181"/>
    </row>
    <row r="248" spans="1:95" s="173" customFormat="1">
      <c r="A248" s="181"/>
      <c r="B248" s="181"/>
      <c r="C248" s="181"/>
      <c r="D248" s="181"/>
      <c r="E248" s="181"/>
      <c r="F248" s="181"/>
      <c r="G248" s="181"/>
      <c r="H248" s="181"/>
      <c r="I248" s="181"/>
      <c r="J248" s="181"/>
      <c r="K248" s="181"/>
      <c r="L248" s="181"/>
      <c r="M248" s="181"/>
      <c r="N248" s="181"/>
      <c r="O248" s="181"/>
      <c r="P248" s="181"/>
      <c r="Q248" s="181"/>
      <c r="R248" s="181"/>
      <c r="S248" s="181"/>
      <c r="T248" s="181"/>
      <c r="U248" s="181"/>
      <c r="V248" s="181"/>
      <c r="W248" s="181"/>
      <c r="X248" s="181"/>
      <c r="Y248" s="181"/>
      <c r="Z248" s="181"/>
      <c r="AA248" s="181"/>
      <c r="AB248" s="181"/>
      <c r="AC248" s="181"/>
      <c r="AD248" s="181"/>
      <c r="AE248" s="181"/>
      <c r="AF248" s="181"/>
      <c r="AG248" s="181"/>
      <c r="AH248" s="181"/>
      <c r="AI248" s="181"/>
      <c r="AJ248" s="181"/>
      <c r="AK248" s="181"/>
      <c r="AL248" s="181"/>
      <c r="AM248" s="181"/>
      <c r="AN248" s="181"/>
      <c r="AO248" s="181"/>
      <c r="AP248" s="181"/>
      <c r="AQ248" s="181"/>
      <c r="AR248" s="181"/>
      <c r="AS248" s="181"/>
      <c r="AT248" s="181"/>
      <c r="AU248" s="181"/>
      <c r="AV248" s="181"/>
      <c r="AW248" s="181"/>
      <c r="AX248" s="181"/>
      <c r="AY248" s="181"/>
      <c r="AZ248" s="181"/>
      <c r="BA248" s="181"/>
      <c r="BB248" s="181"/>
      <c r="BC248" s="181"/>
      <c r="BD248" s="181"/>
      <c r="BE248" s="181"/>
      <c r="BF248" s="181"/>
      <c r="BG248" s="181"/>
      <c r="BH248" s="181"/>
      <c r="BI248" s="181"/>
      <c r="BJ248" s="181"/>
      <c r="BK248" s="181"/>
      <c r="BL248" s="181"/>
      <c r="BM248" s="181"/>
      <c r="BN248" s="181"/>
      <c r="BO248" s="181"/>
      <c r="BP248" s="181"/>
      <c r="BQ248" s="181"/>
      <c r="BR248" s="181"/>
      <c r="BS248" s="181"/>
      <c r="BT248" s="181"/>
      <c r="CM248" s="181"/>
      <c r="CN248" s="181"/>
      <c r="CO248" s="181"/>
      <c r="CP248" s="181"/>
      <c r="CQ248" s="181"/>
    </row>
    <row r="249" spans="1:95" s="173" customFormat="1">
      <c r="A249" s="181"/>
      <c r="B249" s="181"/>
      <c r="C249" s="181"/>
      <c r="D249" s="181"/>
      <c r="E249" s="181"/>
      <c r="F249" s="181"/>
      <c r="G249" s="181"/>
      <c r="H249" s="181"/>
      <c r="I249" s="181"/>
      <c r="J249" s="181"/>
      <c r="K249" s="181"/>
      <c r="L249" s="181"/>
      <c r="M249" s="181"/>
      <c r="N249" s="181"/>
      <c r="O249" s="181"/>
      <c r="P249" s="181"/>
      <c r="Q249" s="181"/>
      <c r="R249" s="181"/>
      <c r="S249" s="181"/>
      <c r="T249" s="181"/>
      <c r="U249" s="181"/>
      <c r="V249" s="181"/>
      <c r="W249" s="181"/>
      <c r="X249" s="181"/>
      <c r="Y249" s="181"/>
      <c r="Z249" s="181"/>
      <c r="AA249" s="181"/>
      <c r="AB249" s="181"/>
      <c r="AC249" s="181"/>
      <c r="AD249" s="181"/>
      <c r="AE249" s="181"/>
      <c r="AF249" s="181"/>
      <c r="AG249" s="181"/>
      <c r="AH249" s="181"/>
      <c r="AI249" s="181"/>
      <c r="AJ249" s="181"/>
      <c r="AK249" s="181"/>
      <c r="AL249" s="181"/>
      <c r="AM249" s="181"/>
      <c r="AN249" s="181"/>
      <c r="AO249" s="181"/>
      <c r="AP249" s="181"/>
      <c r="AQ249" s="181"/>
      <c r="AR249" s="181"/>
      <c r="AS249" s="181"/>
      <c r="AT249" s="181"/>
      <c r="AU249" s="181"/>
      <c r="AV249" s="181"/>
      <c r="AW249" s="181"/>
      <c r="AX249" s="181"/>
      <c r="AY249" s="181"/>
      <c r="AZ249" s="181"/>
      <c r="BA249" s="181"/>
      <c r="BB249" s="181"/>
      <c r="BC249" s="181"/>
      <c r="BD249" s="181"/>
      <c r="BE249" s="181"/>
      <c r="BF249" s="181"/>
      <c r="BG249" s="181"/>
      <c r="BH249" s="181"/>
      <c r="BI249" s="181"/>
      <c r="BJ249" s="181"/>
      <c r="BK249" s="181"/>
      <c r="BL249" s="181"/>
      <c r="BM249" s="181"/>
      <c r="BN249" s="181"/>
      <c r="BO249" s="181"/>
      <c r="BP249" s="181"/>
      <c r="BQ249" s="181"/>
      <c r="BR249" s="181"/>
      <c r="BS249" s="181"/>
      <c r="BT249" s="181"/>
      <c r="CM249" s="181"/>
      <c r="CN249" s="181"/>
      <c r="CO249" s="181"/>
      <c r="CP249" s="181"/>
      <c r="CQ249" s="181"/>
    </row>
    <row r="250" spans="1:95" s="173" customFormat="1">
      <c r="A250" s="181"/>
      <c r="B250" s="181"/>
      <c r="C250" s="181"/>
      <c r="D250" s="181"/>
      <c r="E250" s="181"/>
      <c r="F250" s="181"/>
      <c r="G250" s="181"/>
      <c r="H250" s="181"/>
      <c r="I250" s="181"/>
      <c r="J250" s="181"/>
      <c r="K250" s="181"/>
      <c r="L250" s="181"/>
      <c r="M250" s="181"/>
      <c r="N250" s="181"/>
      <c r="O250" s="181"/>
      <c r="P250" s="181"/>
      <c r="Q250" s="181"/>
      <c r="R250" s="181"/>
      <c r="S250" s="181"/>
      <c r="T250" s="181"/>
      <c r="U250" s="181"/>
      <c r="V250" s="181"/>
      <c r="W250" s="181"/>
      <c r="X250" s="181"/>
      <c r="Y250" s="181"/>
      <c r="Z250" s="181"/>
      <c r="AA250" s="181"/>
      <c r="AB250" s="181"/>
      <c r="AC250" s="181"/>
      <c r="AD250" s="181"/>
      <c r="AE250" s="181"/>
      <c r="AF250" s="181"/>
      <c r="AG250" s="181"/>
      <c r="AH250" s="181"/>
      <c r="AI250" s="181"/>
      <c r="AJ250" s="181"/>
      <c r="AK250" s="181"/>
      <c r="AL250" s="181"/>
      <c r="AM250" s="181"/>
      <c r="AN250" s="181"/>
      <c r="AO250" s="181"/>
      <c r="AP250" s="181"/>
      <c r="AQ250" s="181"/>
      <c r="AR250" s="181"/>
      <c r="AS250" s="181"/>
      <c r="AT250" s="181"/>
      <c r="AU250" s="181"/>
      <c r="AV250" s="181"/>
      <c r="AW250" s="181"/>
      <c r="AX250" s="181"/>
      <c r="AY250" s="181"/>
      <c r="AZ250" s="181"/>
      <c r="BA250" s="181"/>
      <c r="BB250" s="181"/>
      <c r="BC250" s="181"/>
      <c r="BD250" s="181"/>
      <c r="BE250" s="181"/>
      <c r="BF250" s="181"/>
      <c r="BG250" s="181"/>
      <c r="BH250" s="181"/>
      <c r="BI250" s="181"/>
      <c r="BJ250" s="181"/>
      <c r="BK250" s="181"/>
      <c r="BL250" s="181"/>
      <c r="BM250" s="181"/>
      <c r="BN250" s="181"/>
      <c r="BO250" s="181"/>
      <c r="BP250" s="181"/>
      <c r="BQ250" s="181"/>
      <c r="BR250" s="181"/>
      <c r="BS250" s="181"/>
      <c r="BT250" s="181"/>
      <c r="CM250" s="181"/>
      <c r="CN250" s="181"/>
      <c r="CO250" s="181"/>
      <c r="CP250" s="181"/>
      <c r="CQ250" s="181"/>
    </row>
    <row r="251" spans="1:95" s="173" customFormat="1">
      <c r="A251" s="181"/>
      <c r="B251" s="181"/>
      <c r="C251" s="181"/>
      <c r="D251" s="181"/>
      <c r="E251" s="181"/>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181"/>
      <c r="AC251" s="181"/>
      <c r="AD251" s="181"/>
      <c r="AE251" s="181"/>
      <c r="AF251" s="181"/>
      <c r="AG251" s="181"/>
      <c r="AH251" s="181"/>
      <c r="AI251" s="181"/>
      <c r="AJ251" s="181"/>
      <c r="AK251" s="181"/>
      <c r="AL251" s="181"/>
      <c r="AM251" s="181"/>
      <c r="AN251" s="181"/>
      <c r="AO251" s="181"/>
      <c r="AP251" s="181"/>
      <c r="AQ251" s="181"/>
      <c r="AR251" s="181"/>
      <c r="AS251" s="181"/>
      <c r="AT251" s="181"/>
      <c r="AU251" s="181"/>
      <c r="AV251" s="181"/>
      <c r="AW251" s="181"/>
      <c r="AX251" s="181"/>
      <c r="AY251" s="181"/>
      <c r="AZ251" s="181"/>
      <c r="BA251" s="181"/>
      <c r="BB251" s="181"/>
      <c r="BC251" s="181"/>
      <c r="BD251" s="181"/>
      <c r="BE251" s="181"/>
      <c r="BF251" s="181"/>
      <c r="BG251" s="181"/>
      <c r="BH251" s="181"/>
      <c r="BI251" s="181"/>
      <c r="BJ251" s="181"/>
      <c r="BK251" s="181"/>
      <c r="BL251" s="181"/>
      <c r="BM251" s="181"/>
      <c r="BN251" s="181"/>
      <c r="BO251" s="181"/>
      <c r="BP251" s="181"/>
      <c r="BQ251" s="181"/>
      <c r="BR251" s="181"/>
      <c r="BS251" s="181"/>
      <c r="BT251" s="181"/>
      <c r="CM251" s="181"/>
      <c r="CN251" s="181"/>
      <c r="CO251" s="181"/>
      <c r="CP251" s="181"/>
      <c r="CQ251" s="181"/>
    </row>
    <row r="252" spans="1:95" s="173" customFormat="1">
      <c r="A252" s="181"/>
      <c r="B252" s="181"/>
      <c r="C252" s="181"/>
      <c r="D252" s="181"/>
      <c r="E252" s="181"/>
      <c r="F252" s="181"/>
      <c r="G252" s="181"/>
      <c r="H252" s="181"/>
      <c r="I252" s="181"/>
      <c r="J252" s="181"/>
      <c r="K252" s="181"/>
      <c r="L252" s="181"/>
      <c r="M252" s="181"/>
      <c r="N252" s="181"/>
      <c r="O252" s="181"/>
      <c r="P252" s="181"/>
      <c r="Q252" s="181"/>
      <c r="R252" s="181"/>
      <c r="S252" s="181"/>
      <c r="T252" s="181"/>
      <c r="U252" s="181"/>
      <c r="V252" s="181"/>
      <c r="W252" s="181"/>
      <c r="X252" s="181"/>
      <c r="Y252" s="181"/>
      <c r="Z252" s="181"/>
      <c r="AA252" s="181"/>
      <c r="AB252" s="181"/>
      <c r="AC252" s="181"/>
      <c r="AD252" s="181"/>
      <c r="AE252" s="181"/>
      <c r="AF252" s="181"/>
      <c r="AG252" s="181"/>
      <c r="AH252" s="181"/>
      <c r="AI252" s="181"/>
      <c r="AJ252" s="181"/>
      <c r="AK252" s="181"/>
      <c r="AL252" s="181"/>
      <c r="AM252" s="181"/>
      <c r="AN252" s="181"/>
      <c r="AO252" s="181"/>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1"/>
      <c r="BM252" s="181"/>
      <c r="BN252" s="181"/>
      <c r="BO252" s="181"/>
      <c r="BP252" s="181"/>
      <c r="BQ252" s="181"/>
      <c r="BR252" s="181"/>
      <c r="BS252" s="181"/>
      <c r="BT252" s="181"/>
      <c r="CM252" s="181"/>
      <c r="CN252" s="181"/>
      <c r="CO252" s="181"/>
      <c r="CP252" s="181"/>
      <c r="CQ252" s="181"/>
    </row>
    <row r="253" spans="1:95" s="173" customFormat="1">
      <c r="A253" s="181"/>
      <c r="B253" s="181"/>
      <c r="C253" s="181"/>
      <c r="D253" s="181"/>
      <c r="E253" s="181"/>
      <c r="F253" s="181"/>
      <c r="G253" s="181"/>
      <c r="H253" s="181"/>
      <c r="I253" s="181"/>
      <c r="J253" s="181"/>
      <c r="K253" s="181"/>
      <c r="L253" s="181"/>
      <c r="M253" s="181"/>
      <c r="N253" s="181"/>
      <c r="O253" s="181"/>
      <c r="P253" s="181"/>
      <c r="Q253" s="181"/>
      <c r="R253" s="181"/>
      <c r="S253" s="181"/>
      <c r="T253" s="181"/>
      <c r="U253" s="181"/>
      <c r="V253" s="181"/>
      <c r="W253" s="181"/>
      <c r="X253" s="181"/>
      <c r="Y253" s="181"/>
      <c r="Z253" s="181"/>
      <c r="AA253" s="181"/>
      <c r="AB253" s="181"/>
      <c r="AC253" s="181"/>
      <c r="AD253" s="181"/>
      <c r="AE253" s="181"/>
      <c r="AF253" s="181"/>
      <c r="AG253" s="181"/>
      <c r="AH253" s="181"/>
      <c r="AI253" s="181"/>
      <c r="AJ253" s="181"/>
      <c r="AK253" s="181"/>
      <c r="AL253" s="181"/>
      <c r="AM253" s="181"/>
      <c r="AN253" s="181"/>
      <c r="AO253" s="181"/>
      <c r="AP253" s="181"/>
      <c r="AQ253" s="181"/>
      <c r="AR253" s="181"/>
      <c r="AS253" s="181"/>
      <c r="AT253" s="181"/>
      <c r="AU253" s="181"/>
      <c r="AV253" s="181"/>
      <c r="AW253" s="181"/>
      <c r="AX253" s="181"/>
      <c r="AY253" s="181"/>
      <c r="AZ253" s="181"/>
      <c r="BA253" s="181"/>
      <c r="BB253" s="181"/>
      <c r="BC253" s="181"/>
      <c r="BD253" s="181"/>
      <c r="BE253" s="181"/>
      <c r="BF253" s="181"/>
      <c r="BG253" s="181"/>
      <c r="BH253" s="181"/>
      <c r="BI253" s="181"/>
      <c r="BJ253" s="181"/>
      <c r="BK253" s="181"/>
      <c r="BL253" s="181"/>
      <c r="BM253" s="181"/>
      <c r="BN253" s="181"/>
      <c r="BO253" s="181"/>
      <c r="BP253" s="181"/>
      <c r="BQ253" s="181"/>
      <c r="BR253" s="181"/>
      <c r="BS253" s="181"/>
      <c r="BT253" s="181"/>
      <c r="CM253" s="181"/>
      <c r="CN253" s="181"/>
      <c r="CO253" s="181"/>
      <c r="CP253" s="181"/>
      <c r="CQ253" s="181"/>
    </row>
    <row r="254" spans="1:95" s="173" customFormat="1">
      <c r="A254" s="181"/>
      <c r="B254" s="181"/>
      <c r="C254" s="181"/>
      <c r="D254" s="181"/>
      <c r="E254" s="181"/>
      <c r="F254" s="181"/>
      <c r="G254" s="181"/>
      <c r="H254" s="181"/>
      <c r="I254" s="181"/>
      <c r="J254" s="181"/>
      <c r="K254" s="181"/>
      <c r="L254" s="181"/>
      <c r="M254" s="181"/>
      <c r="N254" s="181"/>
      <c r="O254" s="181"/>
      <c r="P254" s="181"/>
      <c r="Q254" s="181"/>
      <c r="R254" s="181"/>
      <c r="S254" s="181"/>
      <c r="T254" s="181"/>
      <c r="U254" s="181"/>
      <c r="V254" s="181"/>
      <c r="W254" s="181"/>
      <c r="X254" s="181"/>
      <c r="Y254" s="181"/>
      <c r="Z254" s="181"/>
      <c r="AA254" s="181"/>
      <c r="AB254" s="181"/>
      <c r="AC254" s="181"/>
      <c r="AD254" s="181"/>
      <c r="AE254" s="181"/>
      <c r="AF254" s="181"/>
      <c r="AG254" s="181"/>
      <c r="AH254" s="181"/>
      <c r="AI254" s="181"/>
      <c r="AJ254" s="181"/>
      <c r="AK254" s="181"/>
      <c r="AL254" s="181"/>
      <c r="AM254" s="181"/>
      <c r="AN254" s="181"/>
      <c r="AO254" s="181"/>
      <c r="AP254" s="181"/>
      <c r="AQ254" s="181"/>
      <c r="AR254" s="181"/>
      <c r="AS254" s="181"/>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1"/>
      <c r="BR254" s="181"/>
      <c r="BS254" s="181"/>
      <c r="BT254" s="181"/>
      <c r="CM254" s="181"/>
      <c r="CN254" s="181"/>
      <c r="CO254" s="181"/>
      <c r="CP254" s="181"/>
      <c r="CQ254" s="181"/>
    </row>
    <row r="255" spans="1:95" s="173" customFormat="1">
      <c r="A255" s="181"/>
      <c r="B255" s="181"/>
      <c r="C255" s="181"/>
      <c r="D255" s="181"/>
      <c r="E255" s="181"/>
      <c r="F255" s="181"/>
      <c r="G255" s="181"/>
      <c r="H255" s="181"/>
      <c r="I255" s="181"/>
      <c r="J255" s="181"/>
      <c r="K255" s="181"/>
      <c r="L255" s="181"/>
      <c r="M255" s="181"/>
      <c r="N255" s="181"/>
      <c r="O255" s="181"/>
      <c r="P255" s="181"/>
      <c r="Q255" s="181"/>
      <c r="R255" s="181"/>
      <c r="S255" s="181"/>
      <c r="T255" s="181"/>
      <c r="U255" s="181"/>
      <c r="V255" s="181"/>
      <c r="W255" s="181"/>
      <c r="X255" s="181"/>
      <c r="Y255" s="181"/>
      <c r="Z255" s="181"/>
      <c r="AA255" s="181"/>
      <c r="AB255" s="181"/>
      <c r="AC255" s="181"/>
      <c r="AD255" s="181"/>
      <c r="AE255" s="181"/>
      <c r="AF255" s="181"/>
      <c r="AG255" s="181"/>
      <c r="AH255" s="181"/>
      <c r="AI255" s="181"/>
      <c r="AJ255" s="181"/>
      <c r="AK255" s="181"/>
      <c r="AL255" s="181"/>
      <c r="AM255" s="181"/>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1"/>
      <c r="BR255" s="181"/>
      <c r="BS255" s="181"/>
      <c r="BT255" s="181"/>
      <c r="CM255" s="181"/>
      <c r="CN255" s="181"/>
      <c r="CO255" s="181"/>
      <c r="CP255" s="181"/>
      <c r="CQ255" s="181"/>
    </row>
    <row r="256" spans="1:95" s="173" customFormat="1">
      <c r="A256" s="181"/>
      <c r="B256" s="181"/>
      <c r="C256" s="181"/>
      <c r="D256" s="181"/>
      <c r="E256" s="181"/>
      <c r="F256" s="181"/>
      <c r="G256" s="181"/>
      <c r="H256" s="181"/>
      <c r="I256" s="181"/>
      <c r="J256" s="181"/>
      <c r="K256" s="181"/>
      <c r="L256" s="181"/>
      <c r="M256" s="181"/>
      <c r="N256" s="181"/>
      <c r="O256" s="181"/>
      <c r="P256" s="181"/>
      <c r="Q256" s="181"/>
      <c r="R256" s="181"/>
      <c r="S256" s="181"/>
      <c r="T256" s="181"/>
      <c r="U256" s="181"/>
      <c r="V256" s="181"/>
      <c r="W256" s="181"/>
      <c r="X256" s="181"/>
      <c r="Y256" s="181"/>
      <c r="Z256" s="181"/>
      <c r="AA256" s="181"/>
      <c r="AB256" s="181"/>
      <c r="AC256" s="181"/>
      <c r="AD256" s="181"/>
      <c r="AE256" s="181"/>
      <c r="AF256" s="181"/>
      <c r="AG256" s="181"/>
      <c r="AH256" s="181"/>
      <c r="AI256" s="181"/>
      <c r="AJ256" s="181"/>
      <c r="AK256" s="181"/>
      <c r="AL256" s="181"/>
      <c r="AM256" s="181"/>
      <c r="AN256" s="181"/>
      <c r="AO256" s="181"/>
      <c r="AP256" s="181"/>
      <c r="AQ256" s="181"/>
      <c r="AR256" s="181"/>
      <c r="AS256" s="181"/>
      <c r="AT256" s="181"/>
      <c r="AU256" s="181"/>
      <c r="AV256" s="181"/>
      <c r="AW256" s="181"/>
      <c r="AX256" s="181"/>
      <c r="AY256" s="181"/>
      <c r="AZ256" s="181"/>
      <c r="BA256" s="181"/>
      <c r="BB256" s="181"/>
      <c r="BC256" s="181"/>
      <c r="BD256" s="181"/>
      <c r="BE256" s="181"/>
      <c r="BF256" s="181"/>
      <c r="BG256" s="181"/>
      <c r="BH256" s="181"/>
      <c r="BI256" s="181"/>
      <c r="BJ256" s="181"/>
      <c r="BK256" s="181"/>
      <c r="BL256" s="181"/>
      <c r="BM256" s="181"/>
      <c r="BN256" s="181"/>
      <c r="BO256" s="181"/>
      <c r="BP256" s="181"/>
      <c r="BQ256" s="181"/>
      <c r="BR256" s="181"/>
      <c r="BS256" s="181"/>
      <c r="BT256" s="181"/>
      <c r="CM256" s="181"/>
      <c r="CN256" s="181"/>
      <c r="CO256" s="181"/>
      <c r="CP256" s="181"/>
      <c r="CQ256" s="181"/>
    </row>
    <row r="257" spans="1:95" s="173" customFormat="1">
      <c r="A257" s="181"/>
      <c r="B257" s="181"/>
      <c r="C257" s="181"/>
      <c r="D257" s="181"/>
      <c r="E257" s="181"/>
      <c r="F257" s="181"/>
      <c r="G257" s="181"/>
      <c r="H257" s="181"/>
      <c r="I257" s="181"/>
      <c r="J257" s="181"/>
      <c r="K257" s="181"/>
      <c r="L257" s="181"/>
      <c r="M257" s="181"/>
      <c r="N257" s="181"/>
      <c r="O257" s="181"/>
      <c r="P257" s="181"/>
      <c r="Q257" s="181"/>
      <c r="R257" s="181"/>
      <c r="S257" s="181"/>
      <c r="T257" s="181"/>
      <c r="U257" s="181"/>
      <c r="V257" s="181"/>
      <c r="W257" s="181"/>
      <c r="X257" s="181"/>
      <c r="Y257" s="181"/>
      <c r="Z257" s="181"/>
      <c r="AA257" s="181"/>
      <c r="AB257" s="181"/>
      <c r="AC257" s="181"/>
      <c r="AD257" s="181"/>
      <c r="AE257" s="181"/>
      <c r="AF257" s="181"/>
      <c r="AG257" s="181"/>
      <c r="AH257" s="181"/>
      <c r="AI257" s="181"/>
      <c r="AJ257" s="181"/>
      <c r="AK257" s="181"/>
      <c r="AL257" s="181"/>
      <c r="AM257" s="181"/>
      <c r="AN257" s="181"/>
      <c r="AO257" s="181"/>
      <c r="AP257" s="181"/>
      <c r="AQ257" s="181"/>
      <c r="AR257" s="181"/>
      <c r="AS257" s="181"/>
      <c r="AT257" s="181"/>
      <c r="AU257" s="181"/>
      <c r="AV257" s="181"/>
      <c r="AW257" s="181"/>
      <c r="AX257" s="181"/>
      <c r="AY257" s="181"/>
      <c r="AZ257" s="181"/>
      <c r="BA257" s="181"/>
      <c r="BB257" s="181"/>
      <c r="BC257" s="181"/>
      <c r="BD257" s="181"/>
      <c r="BE257" s="181"/>
      <c r="BF257" s="181"/>
      <c r="BG257" s="181"/>
      <c r="BH257" s="181"/>
      <c r="BI257" s="181"/>
      <c r="BJ257" s="181"/>
      <c r="BK257" s="181"/>
      <c r="BL257" s="181"/>
      <c r="BM257" s="181"/>
      <c r="BN257" s="181"/>
      <c r="BO257" s="181"/>
      <c r="BP257" s="181"/>
      <c r="BQ257" s="181"/>
      <c r="BR257" s="181"/>
      <c r="BS257" s="181"/>
      <c r="BT257" s="181"/>
      <c r="CM257" s="181"/>
      <c r="CN257" s="181"/>
      <c r="CO257" s="181"/>
      <c r="CP257" s="181"/>
      <c r="CQ257" s="181"/>
    </row>
    <row r="258" spans="1:95" s="173" customFormat="1">
      <c r="A258" s="181"/>
      <c r="B258" s="181"/>
      <c r="C258" s="181"/>
      <c r="D258" s="181"/>
      <c r="E258" s="181"/>
      <c r="F258" s="181"/>
      <c r="G258" s="181"/>
      <c r="H258" s="181"/>
      <c r="I258" s="181"/>
      <c r="J258" s="181"/>
      <c r="K258" s="181"/>
      <c r="L258" s="181"/>
      <c r="M258" s="181"/>
      <c r="N258" s="181"/>
      <c r="O258" s="181"/>
      <c r="P258" s="181"/>
      <c r="Q258" s="181"/>
      <c r="R258" s="181"/>
      <c r="S258" s="181"/>
      <c r="T258" s="181"/>
      <c r="U258" s="181"/>
      <c r="V258" s="181"/>
      <c r="W258" s="181"/>
      <c r="X258" s="181"/>
      <c r="Y258" s="181"/>
      <c r="Z258" s="181"/>
      <c r="AA258" s="181"/>
      <c r="AB258" s="181"/>
      <c r="AC258" s="181"/>
      <c r="AD258" s="181"/>
      <c r="AE258" s="181"/>
      <c r="AF258" s="181"/>
      <c r="AG258" s="181"/>
      <c r="AH258" s="181"/>
      <c r="AI258" s="181"/>
      <c r="AJ258" s="181"/>
      <c r="AK258" s="181"/>
      <c r="AL258" s="181"/>
      <c r="AM258" s="181"/>
      <c r="AN258" s="181"/>
      <c r="AO258" s="181"/>
      <c r="AP258" s="181"/>
      <c r="AQ258" s="181"/>
      <c r="AR258" s="181"/>
      <c r="AS258" s="181"/>
      <c r="AT258" s="181"/>
      <c r="AU258" s="181"/>
      <c r="AV258" s="181"/>
      <c r="AW258" s="181"/>
      <c r="AX258" s="181"/>
      <c r="AY258" s="181"/>
      <c r="AZ258" s="181"/>
      <c r="BA258" s="181"/>
      <c r="BB258" s="181"/>
      <c r="BC258" s="181"/>
      <c r="BD258" s="181"/>
      <c r="BE258" s="181"/>
      <c r="BF258" s="181"/>
      <c r="BG258" s="181"/>
      <c r="BH258" s="181"/>
      <c r="BI258" s="181"/>
      <c r="BJ258" s="181"/>
      <c r="BK258" s="181"/>
      <c r="BL258" s="181"/>
      <c r="BM258" s="181"/>
      <c r="BN258" s="181"/>
      <c r="BO258" s="181"/>
      <c r="BP258" s="181"/>
      <c r="BQ258" s="181"/>
      <c r="BR258" s="181"/>
      <c r="BS258" s="181"/>
      <c r="BT258" s="181"/>
      <c r="CM258" s="181"/>
      <c r="CN258" s="181"/>
      <c r="CO258" s="181"/>
      <c r="CP258" s="181"/>
      <c r="CQ258" s="181"/>
    </row>
    <row r="259" spans="1:95" s="173" customFormat="1">
      <c r="A259" s="181"/>
      <c r="B259" s="181"/>
      <c r="C259" s="181"/>
      <c r="D259" s="181"/>
      <c r="E259" s="181"/>
      <c r="F259" s="181"/>
      <c r="G259" s="181"/>
      <c r="H259" s="181"/>
      <c r="I259" s="181"/>
      <c r="J259" s="181"/>
      <c r="K259" s="181"/>
      <c r="L259" s="181"/>
      <c r="M259" s="181"/>
      <c r="N259" s="181"/>
      <c r="O259" s="181"/>
      <c r="P259" s="181"/>
      <c r="Q259" s="181"/>
      <c r="R259" s="181"/>
      <c r="S259" s="181"/>
      <c r="T259" s="181"/>
      <c r="U259" s="181"/>
      <c r="V259" s="181"/>
      <c r="W259" s="181"/>
      <c r="X259" s="181"/>
      <c r="Y259" s="181"/>
      <c r="Z259" s="181"/>
      <c r="AA259" s="181"/>
      <c r="AB259" s="181"/>
      <c r="AC259" s="181"/>
      <c r="AD259" s="181"/>
      <c r="AE259" s="181"/>
      <c r="AF259" s="181"/>
      <c r="AG259" s="181"/>
      <c r="AH259" s="181"/>
      <c r="AI259" s="181"/>
      <c r="AJ259" s="181"/>
      <c r="AK259" s="181"/>
      <c r="AL259" s="181"/>
      <c r="AM259" s="181"/>
      <c r="AN259" s="181"/>
      <c r="AO259" s="181"/>
      <c r="AP259" s="181"/>
      <c r="AQ259" s="181"/>
      <c r="AR259" s="181"/>
      <c r="AS259" s="181"/>
      <c r="AT259" s="181"/>
      <c r="AU259" s="181"/>
      <c r="AV259" s="181"/>
      <c r="AW259" s="181"/>
      <c r="AX259" s="181"/>
      <c r="AY259" s="181"/>
      <c r="AZ259" s="181"/>
      <c r="BA259" s="181"/>
      <c r="BB259" s="181"/>
      <c r="BC259" s="181"/>
      <c r="BD259" s="181"/>
      <c r="BE259" s="181"/>
      <c r="BF259" s="181"/>
      <c r="BG259" s="181"/>
      <c r="BH259" s="181"/>
      <c r="BI259" s="181"/>
      <c r="BJ259" s="181"/>
      <c r="BK259" s="181"/>
      <c r="BL259" s="181"/>
      <c r="BM259" s="181"/>
      <c r="BN259" s="181"/>
      <c r="BO259" s="181"/>
      <c r="BP259" s="181"/>
      <c r="BQ259" s="181"/>
      <c r="BR259" s="181"/>
      <c r="BS259" s="181"/>
      <c r="BT259" s="181"/>
      <c r="CM259" s="181"/>
      <c r="CN259" s="181"/>
      <c r="CO259" s="181"/>
      <c r="CP259" s="181"/>
      <c r="CQ259" s="181"/>
    </row>
    <row r="260" spans="1:95" s="173" customFormat="1">
      <c r="A260" s="181"/>
      <c r="B260" s="181"/>
      <c r="C260" s="181"/>
      <c r="D260" s="181"/>
      <c r="E260" s="181"/>
      <c r="F260" s="181"/>
      <c r="G260" s="181"/>
      <c r="H260" s="181"/>
      <c r="I260" s="181"/>
      <c r="J260" s="181"/>
      <c r="K260" s="181"/>
      <c r="L260" s="181"/>
      <c r="M260" s="181"/>
      <c r="N260" s="181"/>
      <c r="O260" s="181"/>
      <c r="P260" s="181"/>
      <c r="Q260" s="181"/>
      <c r="R260" s="181"/>
      <c r="S260" s="181"/>
      <c r="T260" s="181"/>
      <c r="U260" s="181"/>
      <c r="V260" s="181"/>
      <c r="W260" s="181"/>
      <c r="X260" s="181"/>
      <c r="Y260" s="181"/>
      <c r="Z260" s="181"/>
      <c r="AA260" s="181"/>
      <c r="AB260" s="181"/>
      <c r="AC260" s="181"/>
      <c r="AD260" s="181"/>
      <c r="AE260" s="181"/>
      <c r="AF260" s="181"/>
      <c r="AG260" s="181"/>
      <c r="AH260" s="181"/>
      <c r="AI260" s="181"/>
      <c r="AJ260" s="181"/>
      <c r="AK260" s="181"/>
      <c r="AL260" s="181"/>
      <c r="AM260" s="181"/>
      <c r="AN260" s="181"/>
      <c r="AO260" s="181"/>
      <c r="AP260" s="181"/>
      <c r="AQ260" s="181"/>
      <c r="AR260" s="181"/>
      <c r="AS260" s="181"/>
      <c r="AT260" s="181"/>
      <c r="AU260" s="181"/>
      <c r="AV260" s="181"/>
      <c r="AW260" s="181"/>
      <c r="AX260" s="181"/>
      <c r="AY260" s="181"/>
      <c r="AZ260" s="181"/>
      <c r="BA260" s="181"/>
      <c r="BB260" s="181"/>
      <c r="BC260" s="181"/>
      <c r="BD260" s="181"/>
      <c r="BE260" s="181"/>
      <c r="BF260" s="181"/>
      <c r="BG260" s="181"/>
      <c r="BH260" s="181"/>
      <c r="BI260" s="181"/>
      <c r="BJ260" s="181"/>
      <c r="BK260" s="181"/>
      <c r="BL260" s="181"/>
      <c r="BM260" s="181"/>
      <c r="BN260" s="181"/>
      <c r="BO260" s="181"/>
      <c r="BP260" s="181"/>
      <c r="BQ260" s="181"/>
      <c r="BR260" s="181"/>
      <c r="BS260" s="181"/>
      <c r="BT260" s="181"/>
      <c r="CM260" s="181"/>
      <c r="CN260" s="181"/>
      <c r="CO260" s="181"/>
      <c r="CP260" s="181"/>
      <c r="CQ260" s="181"/>
    </row>
    <row r="261" spans="1:95" s="173" customFormat="1">
      <c r="A261" s="181"/>
      <c r="B261" s="181"/>
      <c r="C261" s="181"/>
      <c r="D261" s="181"/>
      <c r="E261" s="181"/>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1"/>
      <c r="AB261" s="181"/>
      <c r="AC261" s="181"/>
      <c r="AD261" s="181"/>
      <c r="AE261" s="181"/>
      <c r="AF261" s="181"/>
      <c r="AG261" s="181"/>
      <c r="AH261" s="181"/>
      <c r="AI261" s="181"/>
      <c r="AJ261" s="181"/>
      <c r="AK261" s="181"/>
      <c r="AL261" s="181"/>
      <c r="AM261" s="181"/>
      <c r="AN261" s="181"/>
      <c r="AO261" s="181"/>
      <c r="AP261" s="181"/>
      <c r="AQ261" s="181"/>
      <c r="AR261" s="181"/>
      <c r="AS261" s="181"/>
      <c r="AT261" s="181"/>
      <c r="AU261" s="181"/>
      <c r="AV261" s="181"/>
      <c r="AW261" s="181"/>
      <c r="AX261" s="181"/>
      <c r="AY261" s="181"/>
      <c r="AZ261" s="181"/>
      <c r="BA261" s="181"/>
      <c r="BB261" s="181"/>
      <c r="BC261" s="181"/>
      <c r="BD261" s="181"/>
      <c r="BE261" s="181"/>
      <c r="BF261" s="181"/>
      <c r="BG261" s="181"/>
      <c r="BH261" s="181"/>
      <c r="BI261" s="181"/>
      <c r="BJ261" s="181"/>
      <c r="BK261" s="181"/>
      <c r="BL261" s="181"/>
      <c r="BM261" s="181"/>
      <c r="BN261" s="181"/>
      <c r="BO261" s="181"/>
      <c r="BP261" s="181"/>
      <c r="BQ261" s="181"/>
      <c r="BR261" s="181"/>
      <c r="BS261" s="181"/>
      <c r="BT261" s="181"/>
      <c r="CM261" s="181"/>
      <c r="CN261" s="181"/>
      <c r="CO261" s="181"/>
      <c r="CP261" s="181"/>
      <c r="CQ261" s="181"/>
    </row>
    <row r="262" spans="1:95" s="173" customFormat="1">
      <c r="A262" s="181"/>
      <c r="B262" s="181"/>
      <c r="C262" s="181"/>
      <c r="D262" s="181"/>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1"/>
      <c r="AB262" s="181"/>
      <c r="AC262" s="181"/>
      <c r="AD262" s="181"/>
      <c r="AE262" s="181"/>
      <c r="AF262" s="181"/>
      <c r="AG262" s="181"/>
      <c r="AH262" s="181"/>
      <c r="AI262" s="181"/>
      <c r="AJ262" s="181"/>
      <c r="AK262" s="181"/>
      <c r="AL262" s="181"/>
      <c r="AM262" s="181"/>
      <c r="AN262" s="181"/>
      <c r="AO262" s="181"/>
      <c r="AP262" s="181"/>
      <c r="AQ262" s="181"/>
      <c r="AR262" s="181"/>
      <c r="AS262" s="181"/>
      <c r="AT262" s="181"/>
      <c r="AU262" s="181"/>
      <c r="AV262" s="181"/>
      <c r="AW262" s="181"/>
      <c r="AX262" s="181"/>
      <c r="AY262" s="181"/>
      <c r="AZ262" s="181"/>
      <c r="BA262" s="181"/>
      <c r="BB262" s="181"/>
      <c r="BC262" s="181"/>
      <c r="BD262" s="181"/>
      <c r="BE262" s="181"/>
      <c r="BF262" s="181"/>
      <c r="BG262" s="181"/>
      <c r="BH262" s="181"/>
      <c r="BI262" s="181"/>
      <c r="BJ262" s="181"/>
      <c r="BK262" s="181"/>
      <c r="BL262" s="181"/>
      <c r="BM262" s="181"/>
      <c r="BN262" s="181"/>
      <c r="BO262" s="181"/>
      <c r="BP262" s="181"/>
      <c r="BQ262" s="181"/>
      <c r="BR262" s="181"/>
      <c r="BS262" s="181"/>
      <c r="BT262" s="181"/>
      <c r="CM262" s="181"/>
      <c r="CN262" s="181"/>
      <c r="CO262" s="181"/>
      <c r="CP262" s="181"/>
      <c r="CQ262" s="181"/>
    </row>
    <row r="263" spans="1:95" s="173" customFormat="1">
      <c r="A263" s="181"/>
      <c r="B263" s="181"/>
      <c r="C263" s="181"/>
      <c r="D263" s="181"/>
      <c r="E263" s="181"/>
      <c r="F263" s="181"/>
      <c r="G263" s="181"/>
      <c r="H263" s="181"/>
      <c r="I263" s="181"/>
      <c r="J263" s="181"/>
      <c r="K263" s="181"/>
      <c r="L263" s="181"/>
      <c r="M263" s="181"/>
      <c r="N263" s="181"/>
      <c r="O263" s="181"/>
      <c r="P263" s="181"/>
      <c r="Q263" s="181"/>
      <c r="R263" s="181"/>
      <c r="S263" s="181"/>
      <c r="T263" s="181"/>
      <c r="U263" s="181"/>
      <c r="V263" s="181"/>
      <c r="W263" s="181"/>
      <c r="X263" s="181"/>
      <c r="Y263" s="181"/>
      <c r="Z263" s="181"/>
      <c r="AA263" s="181"/>
      <c r="AB263" s="181"/>
      <c r="AC263" s="181"/>
      <c r="AD263" s="181"/>
      <c r="AE263" s="181"/>
      <c r="AF263" s="181"/>
      <c r="AG263" s="181"/>
      <c r="AH263" s="181"/>
      <c r="AI263" s="181"/>
      <c r="AJ263" s="181"/>
      <c r="AK263" s="181"/>
      <c r="AL263" s="181"/>
      <c r="AM263" s="181"/>
      <c r="AN263" s="181"/>
      <c r="AO263" s="181"/>
      <c r="AP263" s="181"/>
      <c r="AQ263" s="181"/>
      <c r="AR263" s="181"/>
      <c r="AS263" s="181"/>
      <c r="AT263" s="181"/>
      <c r="AU263" s="181"/>
      <c r="AV263" s="181"/>
      <c r="AW263" s="181"/>
      <c r="AX263" s="181"/>
      <c r="AY263" s="181"/>
      <c r="AZ263" s="181"/>
      <c r="BA263" s="181"/>
      <c r="BB263" s="181"/>
      <c r="BC263" s="181"/>
      <c r="BD263" s="181"/>
      <c r="BE263" s="181"/>
      <c r="BF263" s="181"/>
      <c r="BG263" s="181"/>
      <c r="BH263" s="181"/>
      <c r="BI263" s="181"/>
      <c r="BJ263" s="181"/>
      <c r="BK263" s="181"/>
      <c r="BL263" s="181"/>
      <c r="BM263" s="181"/>
      <c r="BN263" s="181"/>
      <c r="BO263" s="181"/>
      <c r="BP263" s="181"/>
      <c r="BQ263" s="181"/>
      <c r="BR263" s="181"/>
      <c r="BS263" s="181"/>
      <c r="BT263" s="181"/>
      <c r="CM263" s="181"/>
      <c r="CN263" s="181"/>
      <c r="CO263" s="181"/>
      <c r="CP263" s="181"/>
      <c r="CQ263" s="181"/>
    </row>
    <row r="264" spans="1:95" s="173" customFormat="1">
      <c r="A264" s="181"/>
      <c r="B264" s="181"/>
      <c r="C264" s="181"/>
      <c r="D264" s="181"/>
      <c r="E264" s="181"/>
      <c r="F264" s="181"/>
      <c r="G264" s="181"/>
      <c r="H264" s="181"/>
      <c r="I264" s="181"/>
      <c r="J264" s="181"/>
      <c r="K264" s="181"/>
      <c r="L264" s="181"/>
      <c r="M264" s="181"/>
      <c r="N264" s="181"/>
      <c r="O264" s="181"/>
      <c r="P264" s="181"/>
      <c r="Q264" s="181"/>
      <c r="R264" s="181"/>
      <c r="S264" s="181"/>
      <c r="T264" s="181"/>
      <c r="U264" s="181"/>
      <c r="V264" s="181"/>
      <c r="W264" s="181"/>
      <c r="X264" s="181"/>
      <c r="Y264" s="181"/>
      <c r="Z264" s="181"/>
      <c r="AA264" s="181"/>
      <c r="AB264" s="181"/>
      <c r="AC264" s="181"/>
      <c r="AD264" s="181"/>
      <c r="AE264" s="181"/>
      <c r="AF264" s="181"/>
      <c r="AG264" s="181"/>
      <c r="AH264" s="181"/>
      <c r="AI264" s="181"/>
      <c r="AJ264" s="181"/>
      <c r="AK264" s="181"/>
      <c r="AL264" s="181"/>
      <c r="AM264" s="181"/>
      <c r="AN264" s="181"/>
      <c r="AO264" s="181"/>
      <c r="AP264" s="181"/>
      <c r="AQ264" s="181"/>
      <c r="AR264" s="181"/>
      <c r="AS264" s="181"/>
      <c r="AT264" s="181"/>
      <c r="AU264" s="181"/>
      <c r="AV264" s="181"/>
      <c r="AW264" s="181"/>
      <c r="AX264" s="181"/>
      <c r="AY264" s="181"/>
      <c r="AZ264" s="181"/>
      <c r="BA264" s="181"/>
      <c r="BB264" s="181"/>
      <c r="BC264" s="181"/>
      <c r="BD264" s="181"/>
      <c r="BE264" s="181"/>
      <c r="BF264" s="181"/>
      <c r="BG264" s="181"/>
      <c r="BH264" s="181"/>
      <c r="BI264" s="181"/>
      <c r="BJ264" s="181"/>
      <c r="BK264" s="181"/>
      <c r="BL264" s="181"/>
      <c r="BM264" s="181"/>
      <c r="BN264" s="181"/>
      <c r="BO264" s="181"/>
      <c r="BP264" s="181"/>
      <c r="BQ264" s="181"/>
      <c r="BR264" s="181"/>
      <c r="BS264" s="181"/>
      <c r="BT264" s="181"/>
      <c r="CM264" s="181"/>
      <c r="CN264" s="181"/>
      <c r="CO264" s="181"/>
      <c r="CP264" s="181"/>
      <c r="CQ264" s="181"/>
    </row>
    <row r="265" spans="1:95" s="173" customFormat="1">
      <c r="A265" s="181"/>
      <c r="B265" s="181"/>
      <c r="C265" s="181"/>
      <c r="D265" s="181"/>
      <c r="E265" s="181"/>
      <c r="F265" s="181"/>
      <c r="G265" s="181"/>
      <c r="H265" s="181"/>
      <c r="I265" s="181"/>
      <c r="J265" s="181"/>
      <c r="K265" s="181"/>
      <c r="L265" s="181"/>
      <c r="M265" s="181"/>
      <c r="N265" s="181"/>
      <c r="O265" s="181"/>
      <c r="P265" s="181"/>
      <c r="Q265" s="181"/>
      <c r="R265" s="181"/>
      <c r="S265" s="181"/>
      <c r="T265" s="181"/>
      <c r="U265" s="181"/>
      <c r="V265" s="181"/>
      <c r="W265" s="181"/>
      <c r="X265" s="181"/>
      <c r="Y265" s="181"/>
      <c r="Z265" s="181"/>
      <c r="AA265" s="181"/>
      <c r="AB265" s="181"/>
      <c r="AC265" s="181"/>
      <c r="AD265" s="181"/>
      <c r="AE265" s="181"/>
      <c r="AF265" s="181"/>
      <c r="AG265" s="181"/>
      <c r="AH265" s="181"/>
      <c r="AI265" s="181"/>
      <c r="AJ265" s="181"/>
      <c r="AK265" s="181"/>
      <c r="AL265" s="181"/>
      <c r="AM265" s="181"/>
      <c r="AN265" s="181"/>
      <c r="AO265" s="181"/>
      <c r="AP265" s="181"/>
      <c r="AQ265" s="181"/>
      <c r="AR265" s="181"/>
      <c r="AS265" s="181"/>
      <c r="AT265" s="181"/>
      <c r="AU265" s="181"/>
      <c r="AV265" s="181"/>
      <c r="AW265" s="181"/>
      <c r="AX265" s="181"/>
      <c r="AY265" s="181"/>
      <c r="AZ265" s="181"/>
      <c r="BA265" s="181"/>
      <c r="BB265" s="181"/>
      <c r="BC265" s="181"/>
      <c r="BD265" s="181"/>
      <c r="BE265" s="181"/>
      <c r="BF265" s="181"/>
      <c r="BG265" s="181"/>
      <c r="BH265" s="181"/>
      <c r="BI265" s="181"/>
      <c r="BJ265" s="181"/>
      <c r="BK265" s="181"/>
      <c r="BL265" s="181"/>
      <c r="BM265" s="181"/>
      <c r="BN265" s="181"/>
      <c r="BO265" s="181"/>
      <c r="BP265" s="181"/>
      <c r="BQ265" s="181"/>
      <c r="BR265" s="181"/>
      <c r="BS265" s="181"/>
      <c r="BT265" s="181"/>
      <c r="CM265" s="181"/>
      <c r="CN265" s="181"/>
      <c r="CO265" s="181"/>
      <c r="CP265" s="181"/>
      <c r="CQ265" s="181"/>
    </row>
    <row r="266" spans="1:95" s="173" customFormat="1">
      <c r="A266" s="181"/>
      <c r="B266" s="181"/>
      <c r="C266" s="181"/>
      <c r="D266" s="181"/>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1"/>
      <c r="AB266" s="181"/>
      <c r="AC266" s="181"/>
      <c r="AD266" s="181"/>
      <c r="AE266" s="181"/>
      <c r="AF266" s="181"/>
      <c r="AG266" s="181"/>
      <c r="AH266" s="181"/>
      <c r="AI266" s="181"/>
      <c r="AJ266" s="181"/>
      <c r="AK266" s="181"/>
      <c r="AL266" s="181"/>
      <c r="AM266" s="181"/>
      <c r="AN266" s="181"/>
      <c r="AO266" s="181"/>
      <c r="AP266" s="181"/>
      <c r="AQ266" s="181"/>
      <c r="AR266" s="181"/>
      <c r="AS266" s="181"/>
      <c r="AT266" s="181"/>
      <c r="AU266" s="181"/>
      <c r="AV266" s="181"/>
      <c r="AW266" s="181"/>
      <c r="AX266" s="181"/>
      <c r="AY266" s="181"/>
      <c r="AZ266" s="181"/>
      <c r="BA266" s="181"/>
      <c r="BB266" s="181"/>
      <c r="BC266" s="181"/>
      <c r="BD266" s="181"/>
      <c r="BE266" s="181"/>
      <c r="BF266" s="181"/>
      <c r="BG266" s="181"/>
      <c r="BH266" s="181"/>
      <c r="BI266" s="181"/>
      <c r="BJ266" s="181"/>
      <c r="BK266" s="181"/>
      <c r="BL266" s="181"/>
      <c r="BM266" s="181"/>
      <c r="BN266" s="181"/>
      <c r="BO266" s="181"/>
      <c r="BP266" s="181"/>
      <c r="BQ266" s="181"/>
      <c r="BR266" s="181"/>
      <c r="BS266" s="181"/>
      <c r="BT266" s="181"/>
      <c r="CM266" s="181"/>
      <c r="CN266" s="181"/>
      <c r="CO266" s="181"/>
      <c r="CP266" s="181"/>
      <c r="CQ266" s="181"/>
    </row>
    <row r="267" spans="1:95" s="173" customFormat="1">
      <c r="A267" s="181"/>
      <c r="B267" s="181"/>
      <c r="C267" s="181"/>
      <c r="D267" s="181"/>
      <c r="E267" s="181"/>
      <c r="F267" s="181"/>
      <c r="G267" s="181"/>
      <c r="H267" s="181"/>
      <c r="I267" s="181"/>
      <c r="J267" s="181"/>
      <c r="K267" s="181"/>
      <c r="L267" s="181"/>
      <c r="M267" s="181"/>
      <c r="N267" s="181"/>
      <c r="O267" s="181"/>
      <c r="P267" s="181"/>
      <c r="Q267" s="181"/>
      <c r="R267" s="181"/>
      <c r="S267" s="181"/>
      <c r="T267" s="181"/>
      <c r="U267" s="181"/>
      <c r="V267" s="181"/>
      <c r="W267" s="181"/>
      <c r="X267" s="181"/>
      <c r="Y267" s="181"/>
      <c r="Z267" s="181"/>
      <c r="AA267" s="181"/>
      <c r="AB267" s="181"/>
      <c r="AC267" s="181"/>
      <c r="AD267" s="181"/>
      <c r="AE267" s="181"/>
      <c r="AF267" s="181"/>
      <c r="AG267" s="181"/>
      <c r="AH267" s="181"/>
      <c r="AI267" s="181"/>
      <c r="AJ267" s="181"/>
      <c r="AK267" s="181"/>
      <c r="AL267" s="181"/>
      <c r="AM267" s="181"/>
      <c r="AN267" s="181"/>
      <c r="AO267" s="181"/>
      <c r="AP267" s="181"/>
      <c r="AQ267" s="181"/>
      <c r="AR267" s="181"/>
      <c r="AS267" s="181"/>
      <c r="AT267" s="181"/>
      <c r="AU267" s="181"/>
      <c r="AV267" s="181"/>
      <c r="AW267" s="181"/>
      <c r="AX267" s="181"/>
      <c r="AY267" s="181"/>
      <c r="AZ267" s="181"/>
      <c r="BA267" s="181"/>
      <c r="BB267" s="181"/>
      <c r="BC267" s="181"/>
      <c r="BD267" s="181"/>
      <c r="BE267" s="181"/>
      <c r="BF267" s="181"/>
      <c r="BG267" s="181"/>
      <c r="BH267" s="181"/>
      <c r="BI267" s="181"/>
      <c r="BJ267" s="181"/>
      <c r="BK267" s="181"/>
      <c r="BL267" s="181"/>
      <c r="BM267" s="181"/>
      <c r="BN267" s="181"/>
      <c r="BO267" s="181"/>
      <c r="BP267" s="181"/>
      <c r="BQ267" s="181"/>
      <c r="BR267" s="181"/>
      <c r="BS267" s="181"/>
      <c r="BT267" s="181"/>
      <c r="CM267" s="181"/>
      <c r="CN267" s="181"/>
      <c r="CO267" s="181"/>
      <c r="CP267" s="181"/>
      <c r="CQ267" s="181"/>
    </row>
    <row r="268" spans="1:95" s="173" customFormat="1">
      <c r="A268" s="181"/>
      <c r="B268" s="181"/>
      <c r="C268" s="181"/>
      <c r="D268" s="181"/>
      <c r="E268" s="181"/>
      <c r="F268" s="181"/>
      <c r="G268" s="181"/>
      <c r="H268" s="181"/>
      <c r="I268" s="181"/>
      <c r="J268" s="181"/>
      <c r="K268" s="181"/>
      <c r="L268" s="181"/>
      <c r="M268" s="181"/>
      <c r="N268" s="181"/>
      <c r="O268" s="181"/>
      <c r="P268" s="181"/>
      <c r="Q268" s="181"/>
      <c r="R268" s="181"/>
      <c r="S268" s="181"/>
      <c r="T268" s="181"/>
      <c r="U268" s="181"/>
      <c r="V268" s="181"/>
      <c r="W268" s="181"/>
      <c r="X268" s="181"/>
      <c r="Y268" s="181"/>
      <c r="Z268" s="181"/>
      <c r="AA268" s="181"/>
      <c r="AB268" s="181"/>
      <c r="AC268" s="181"/>
      <c r="AD268" s="181"/>
      <c r="AE268" s="181"/>
      <c r="AF268" s="181"/>
      <c r="AG268" s="181"/>
      <c r="AH268" s="181"/>
      <c r="AI268" s="181"/>
      <c r="AJ268" s="181"/>
      <c r="AK268" s="181"/>
      <c r="AL268" s="181"/>
      <c r="AM268" s="181"/>
      <c r="AN268" s="181"/>
      <c r="AO268" s="181"/>
      <c r="AP268" s="181"/>
      <c r="AQ268" s="181"/>
      <c r="AR268" s="181"/>
      <c r="AS268" s="181"/>
      <c r="AT268" s="181"/>
      <c r="AU268" s="181"/>
      <c r="AV268" s="181"/>
      <c r="AW268" s="181"/>
      <c r="AX268" s="181"/>
      <c r="AY268" s="181"/>
      <c r="AZ268" s="181"/>
      <c r="BA268" s="181"/>
      <c r="BB268" s="181"/>
      <c r="BN268" s="181"/>
      <c r="BO268" s="181"/>
      <c r="BP268" s="181"/>
      <c r="BQ268" s="181"/>
      <c r="BR268" s="181"/>
      <c r="BS268" s="181"/>
      <c r="BT268" s="181"/>
      <c r="CM268" s="181"/>
      <c r="CN268" s="181"/>
      <c r="CO268" s="181"/>
      <c r="CP268" s="181"/>
      <c r="CQ268" s="181"/>
    </row>
    <row r="269" spans="1:95" s="173" customFormat="1">
      <c r="A269" s="181"/>
      <c r="B269" s="181"/>
      <c r="C269" s="181"/>
      <c r="D269" s="181"/>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c r="AA269" s="181"/>
      <c r="AB269" s="181"/>
      <c r="AC269" s="181"/>
      <c r="AD269" s="181"/>
      <c r="AE269" s="181"/>
      <c r="AF269" s="181"/>
      <c r="AG269" s="181"/>
      <c r="AH269" s="181"/>
      <c r="AI269" s="181"/>
      <c r="AJ269" s="181"/>
      <c r="AK269" s="181"/>
      <c r="AL269" s="181"/>
      <c r="AM269" s="181"/>
      <c r="AN269" s="181"/>
      <c r="AO269" s="181"/>
      <c r="AP269" s="181"/>
      <c r="AQ269" s="181"/>
      <c r="AR269" s="181"/>
      <c r="AS269" s="181"/>
      <c r="AT269" s="181"/>
      <c r="AU269" s="181"/>
      <c r="AV269" s="181"/>
      <c r="AW269" s="181"/>
      <c r="AX269" s="181"/>
      <c r="AY269" s="181"/>
      <c r="AZ269" s="181"/>
      <c r="BA269" s="181"/>
      <c r="BB269" s="181"/>
      <c r="BN269" s="181"/>
      <c r="BO269" s="181"/>
      <c r="BP269" s="181"/>
      <c r="BQ269" s="181"/>
      <c r="BR269" s="181"/>
      <c r="BS269" s="181"/>
      <c r="BT269" s="181"/>
      <c r="CM269" s="181"/>
      <c r="CN269" s="181"/>
      <c r="CO269" s="181"/>
      <c r="CP269" s="181"/>
      <c r="CQ269" s="181"/>
    </row>
    <row r="270" spans="1:95" s="173" customFormat="1">
      <c r="A270" s="181"/>
      <c r="B270" s="181"/>
      <c r="C270" s="181"/>
      <c r="D270" s="181"/>
      <c r="E270" s="181"/>
      <c r="F270" s="181"/>
      <c r="G270" s="181"/>
      <c r="H270" s="181"/>
      <c r="I270" s="181"/>
      <c r="J270" s="181"/>
      <c r="K270" s="181"/>
      <c r="L270" s="181"/>
      <c r="M270" s="181"/>
      <c r="N270" s="181"/>
      <c r="O270" s="181"/>
      <c r="P270" s="181"/>
      <c r="Q270" s="181"/>
      <c r="R270" s="181"/>
      <c r="S270" s="181"/>
      <c r="T270" s="181"/>
      <c r="U270" s="181"/>
      <c r="V270" s="181"/>
      <c r="W270" s="181"/>
      <c r="X270" s="181"/>
      <c r="Y270" s="181"/>
      <c r="Z270" s="181"/>
      <c r="AA270" s="181"/>
      <c r="AB270" s="181"/>
      <c r="AC270" s="181"/>
      <c r="AD270" s="181"/>
      <c r="AE270" s="181"/>
      <c r="AF270" s="181"/>
      <c r="AG270" s="181"/>
      <c r="AH270" s="181"/>
      <c r="AI270" s="181"/>
      <c r="AJ270" s="181"/>
      <c r="AK270" s="181"/>
      <c r="AL270" s="181"/>
      <c r="AM270" s="181"/>
      <c r="AN270" s="181"/>
      <c r="AO270" s="181"/>
      <c r="AP270" s="181"/>
      <c r="AQ270" s="181"/>
      <c r="AR270" s="181"/>
      <c r="AS270" s="181"/>
      <c r="AT270" s="181"/>
      <c r="AU270" s="181"/>
      <c r="AV270" s="181"/>
      <c r="AW270" s="181"/>
      <c r="AX270" s="181"/>
      <c r="AY270" s="181"/>
      <c r="AZ270" s="181"/>
      <c r="BA270" s="181"/>
      <c r="BB270" s="181"/>
      <c r="BN270" s="181"/>
      <c r="BO270" s="181"/>
      <c r="BP270" s="181"/>
      <c r="BQ270" s="181"/>
      <c r="BR270" s="181"/>
      <c r="BS270" s="181"/>
      <c r="BT270" s="181"/>
      <c r="CM270" s="181"/>
      <c r="CN270" s="181"/>
      <c r="CO270" s="181"/>
      <c r="CP270" s="181"/>
      <c r="CQ270" s="181"/>
    </row>
    <row r="271" spans="1:95" s="173" customFormat="1">
      <c r="A271" s="181"/>
      <c r="B271" s="181"/>
      <c r="C271" s="181"/>
      <c r="D271" s="181"/>
      <c r="E271" s="181"/>
      <c r="F271" s="181"/>
      <c r="G271" s="181"/>
      <c r="H271" s="181"/>
      <c r="I271" s="181"/>
      <c r="J271" s="181"/>
      <c r="K271" s="181"/>
      <c r="L271" s="181"/>
      <c r="M271" s="181"/>
      <c r="N271" s="181"/>
      <c r="O271" s="181"/>
      <c r="P271" s="181"/>
      <c r="Q271" s="181"/>
      <c r="R271" s="181"/>
      <c r="S271" s="181"/>
      <c r="T271" s="181"/>
      <c r="U271" s="181"/>
      <c r="V271" s="181"/>
      <c r="W271" s="181"/>
      <c r="X271" s="181"/>
      <c r="Y271" s="181"/>
      <c r="Z271" s="181"/>
      <c r="AA271" s="181"/>
      <c r="AB271" s="181"/>
      <c r="AC271" s="181"/>
      <c r="AD271" s="181"/>
      <c r="AE271" s="181"/>
      <c r="AF271" s="181"/>
      <c r="AG271" s="181"/>
      <c r="AH271" s="181"/>
      <c r="AI271" s="181"/>
      <c r="AJ271" s="181"/>
      <c r="AK271" s="181"/>
      <c r="AL271" s="181"/>
      <c r="AM271" s="181"/>
      <c r="AN271" s="181"/>
      <c r="AO271" s="181"/>
      <c r="AP271" s="181"/>
      <c r="AQ271" s="181"/>
      <c r="AR271" s="181"/>
      <c r="AS271" s="181"/>
      <c r="AT271" s="181"/>
      <c r="AU271" s="181"/>
      <c r="AV271" s="181"/>
      <c r="AW271" s="181"/>
      <c r="AX271" s="181"/>
      <c r="AY271" s="181"/>
      <c r="AZ271" s="181"/>
      <c r="BA271" s="181"/>
      <c r="BB271" s="181"/>
      <c r="BN271" s="181"/>
      <c r="BO271" s="181"/>
      <c r="BP271" s="181"/>
      <c r="BQ271" s="181"/>
      <c r="BR271" s="181"/>
      <c r="BS271" s="181"/>
      <c r="BT271" s="181"/>
      <c r="CM271" s="181"/>
      <c r="CN271" s="181"/>
      <c r="CO271" s="181"/>
      <c r="CP271" s="181"/>
      <c r="CQ271" s="181"/>
    </row>
    <row r="272" spans="1:95" s="173" customFormat="1">
      <c r="A272" s="181"/>
      <c r="B272" s="181"/>
      <c r="C272" s="181"/>
      <c r="D272" s="181"/>
      <c r="E272" s="181"/>
      <c r="F272" s="181"/>
      <c r="G272" s="181"/>
      <c r="H272" s="181"/>
      <c r="I272" s="181"/>
      <c r="J272" s="181"/>
      <c r="K272" s="181"/>
      <c r="L272" s="181"/>
      <c r="M272" s="181"/>
      <c r="N272" s="181"/>
      <c r="O272" s="181"/>
      <c r="P272" s="181"/>
      <c r="Q272" s="181"/>
      <c r="R272" s="181"/>
      <c r="S272" s="181"/>
      <c r="T272" s="181"/>
      <c r="U272" s="181"/>
      <c r="V272" s="181"/>
      <c r="W272" s="181"/>
      <c r="X272" s="181"/>
      <c r="Y272" s="181"/>
      <c r="Z272" s="181"/>
      <c r="AA272" s="181"/>
      <c r="AB272" s="181"/>
      <c r="AC272" s="181"/>
      <c r="AD272" s="181"/>
      <c r="AE272" s="181"/>
      <c r="AF272" s="181"/>
      <c r="AG272" s="181"/>
      <c r="AH272" s="181"/>
      <c r="AI272" s="181"/>
      <c r="AJ272" s="181"/>
      <c r="AK272" s="181"/>
      <c r="AL272" s="181"/>
      <c r="AM272" s="181"/>
      <c r="AN272" s="181"/>
      <c r="AO272" s="181"/>
      <c r="AP272" s="181"/>
      <c r="AQ272" s="181"/>
      <c r="AR272" s="181"/>
      <c r="AS272" s="181"/>
      <c r="AT272" s="181"/>
      <c r="AU272" s="181"/>
      <c r="AV272" s="181"/>
      <c r="AW272" s="181"/>
      <c r="AX272" s="181"/>
      <c r="AY272" s="181"/>
      <c r="AZ272" s="181"/>
      <c r="BA272" s="181"/>
      <c r="BB272" s="181"/>
      <c r="BN272" s="181"/>
      <c r="BO272" s="181"/>
      <c r="BP272" s="181"/>
      <c r="BQ272" s="181"/>
      <c r="BR272" s="181"/>
      <c r="BS272" s="181"/>
      <c r="BT272" s="181"/>
      <c r="CM272" s="181"/>
      <c r="CN272" s="181"/>
      <c r="CO272" s="181"/>
      <c r="CP272" s="181"/>
      <c r="CQ272" s="181"/>
    </row>
    <row r="273" spans="1:95" s="173" customFormat="1">
      <c r="A273" s="181"/>
      <c r="B273" s="181"/>
      <c r="C273" s="181"/>
      <c r="D273" s="181"/>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c r="AA273" s="181"/>
      <c r="AB273" s="181"/>
      <c r="AC273" s="181"/>
      <c r="AD273" s="181"/>
      <c r="AE273" s="181"/>
      <c r="AF273" s="181"/>
      <c r="AG273" s="181"/>
      <c r="AH273" s="181"/>
      <c r="AI273" s="181"/>
      <c r="AJ273" s="181"/>
      <c r="AK273" s="181"/>
      <c r="AL273" s="181"/>
      <c r="AM273" s="181"/>
      <c r="AN273" s="181"/>
      <c r="AO273" s="181"/>
      <c r="AP273" s="181"/>
      <c r="AQ273" s="181"/>
      <c r="AR273" s="181"/>
      <c r="AS273" s="181"/>
      <c r="AT273" s="181"/>
      <c r="AU273" s="181"/>
      <c r="AV273" s="181"/>
      <c r="AW273" s="181"/>
      <c r="AX273" s="181"/>
      <c r="AY273" s="181"/>
      <c r="AZ273" s="181"/>
      <c r="BA273" s="181"/>
      <c r="BB273" s="181"/>
      <c r="BN273" s="181"/>
      <c r="BO273" s="181"/>
      <c r="BP273" s="181"/>
      <c r="BQ273" s="181"/>
      <c r="BR273" s="181"/>
      <c r="BS273" s="181"/>
      <c r="BT273" s="181"/>
      <c r="CM273" s="181"/>
      <c r="CN273" s="181"/>
      <c r="CO273" s="181"/>
      <c r="CP273" s="181"/>
      <c r="CQ273" s="181"/>
    </row>
    <row r="274" spans="1:95" s="173" customFormat="1">
      <c r="A274" s="181"/>
      <c r="B274" s="181"/>
      <c r="C274" s="181"/>
      <c r="D274" s="181"/>
      <c r="E274" s="181"/>
      <c r="F274" s="181"/>
      <c r="G274" s="181"/>
      <c r="H274" s="181"/>
      <c r="I274" s="181"/>
      <c r="J274" s="181"/>
      <c r="K274" s="181"/>
      <c r="L274" s="181"/>
      <c r="M274" s="181"/>
      <c r="N274" s="181"/>
      <c r="O274" s="181"/>
      <c r="P274" s="181"/>
      <c r="Q274" s="181"/>
      <c r="R274" s="181"/>
      <c r="S274" s="181"/>
      <c r="T274" s="181"/>
      <c r="U274" s="181"/>
      <c r="V274" s="181"/>
      <c r="W274" s="181"/>
      <c r="X274" s="181"/>
      <c r="Y274" s="181"/>
      <c r="Z274" s="181"/>
      <c r="AA274" s="181"/>
      <c r="AB274" s="181"/>
      <c r="AC274" s="181"/>
      <c r="AD274" s="181"/>
      <c r="AE274" s="181"/>
      <c r="AF274" s="181"/>
      <c r="AG274" s="181"/>
      <c r="AH274" s="181"/>
      <c r="AI274" s="181"/>
      <c r="AJ274" s="181"/>
      <c r="AK274" s="181"/>
      <c r="AL274" s="181"/>
      <c r="AM274" s="181"/>
      <c r="AN274" s="181"/>
      <c r="AO274" s="181"/>
      <c r="AP274" s="181"/>
      <c r="AQ274" s="181"/>
      <c r="AR274" s="181"/>
      <c r="AS274" s="181"/>
      <c r="AT274" s="181"/>
      <c r="AU274" s="181"/>
      <c r="AV274" s="181"/>
      <c r="AW274" s="181"/>
      <c r="AX274" s="181"/>
      <c r="AY274" s="181"/>
      <c r="AZ274" s="181"/>
      <c r="BA274" s="181"/>
      <c r="BB274" s="181"/>
      <c r="BN274" s="181"/>
      <c r="BO274" s="181"/>
      <c r="BP274" s="181"/>
      <c r="BQ274" s="181"/>
      <c r="BR274" s="181"/>
      <c r="BS274" s="181"/>
      <c r="BT274" s="181"/>
      <c r="CM274" s="181"/>
      <c r="CN274" s="181"/>
      <c r="CO274" s="181"/>
      <c r="CP274" s="181"/>
      <c r="CQ274" s="181"/>
    </row>
    <row r="275" spans="1:95" s="173" customFormat="1">
      <c r="A275" s="181"/>
      <c r="B275" s="181"/>
      <c r="C275" s="181"/>
      <c r="D275" s="181"/>
      <c r="E275" s="181"/>
      <c r="F275" s="181"/>
      <c r="G275" s="181"/>
      <c r="H275" s="181"/>
      <c r="I275" s="181"/>
      <c r="J275" s="181"/>
      <c r="K275" s="181"/>
      <c r="L275" s="181"/>
      <c r="M275" s="181"/>
      <c r="N275" s="181"/>
      <c r="O275" s="181"/>
      <c r="P275" s="181"/>
      <c r="Q275" s="181"/>
      <c r="R275" s="181"/>
      <c r="S275" s="181"/>
      <c r="T275" s="181"/>
      <c r="U275" s="181"/>
      <c r="V275" s="181"/>
      <c r="W275" s="181"/>
      <c r="X275" s="181"/>
      <c r="Y275" s="181"/>
      <c r="Z275" s="181"/>
      <c r="AA275" s="181"/>
      <c r="AB275" s="181"/>
      <c r="AC275" s="181"/>
      <c r="AD275" s="181"/>
      <c r="AE275" s="181"/>
      <c r="AF275" s="181"/>
      <c r="AG275" s="181"/>
      <c r="AH275" s="181"/>
      <c r="AI275" s="181"/>
      <c r="AJ275" s="181"/>
      <c r="AK275" s="181"/>
      <c r="AL275" s="181"/>
      <c r="AM275" s="181"/>
      <c r="AN275" s="181"/>
      <c r="AO275" s="181"/>
      <c r="AP275" s="181"/>
      <c r="AQ275" s="181"/>
      <c r="AR275" s="181"/>
      <c r="AS275" s="181"/>
      <c r="AT275" s="181"/>
      <c r="AU275" s="181"/>
      <c r="AV275" s="181"/>
      <c r="AW275" s="181"/>
      <c r="AX275" s="181"/>
      <c r="AY275" s="181"/>
      <c r="AZ275" s="181"/>
      <c r="BA275" s="181"/>
      <c r="BB275" s="181"/>
      <c r="BN275" s="181"/>
      <c r="BO275" s="181"/>
      <c r="BP275" s="181"/>
      <c r="BQ275" s="181"/>
      <c r="BR275" s="181"/>
      <c r="BS275" s="181"/>
      <c r="BT275" s="181"/>
      <c r="CM275" s="181"/>
      <c r="CN275" s="181"/>
      <c r="CO275" s="181"/>
      <c r="CP275" s="181"/>
      <c r="CQ275" s="181"/>
    </row>
    <row r="276" spans="1:95" s="173" customFormat="1">
      <c r="A276" s="181"/>
      <c r="B276" s="181"/>
      <c r="C276" s="181"/>
      <c r="D276" s="181"/>
      <c r="E276" s="181"/>
      <c r="F276" s="181"/>
      <c r="G276" s="181"/>
      <c r="H276" s="181"/>
      <c r="I276" s="181"/>
      <c r="J276" s="181"/>
      <c r="K276" s="181"/>
      <c r="L276" s="181"/>
      <c r="M276" s="181"/>
      <c r="N276" s="181"/>
      <c r="O276" s="181"/>
      <c r="P276" s="181"/>
      <c r="Q276" s="181"/>
      <c r="R276" s="181"/>
      <c r="S276" s="181"/>
      <c r="T276" s="181"/>
      <c r="U276" s="181"/>
      <c r="V276" s="181"/>
      <c r="W276" s="181"/>
      <c r="X276" s="181"/>
      <c r="Y276" s="181"/>
      <c r="Z276" s="181"/>
      <c r="AA276" s="181"/>
      <c r="AB276" s="181"/>
      <c r="AC276" s="181"/>
      <c r="AD276" s="181"/>
      <c r="AE276" s="181"/>
      <c r="AF276" s="181"/>
      <c r="AG276" s="181"/>
      <c r="AH276" s="181"/>
      <c r="AI276" s="181"/>
      <c r="AJ276" s="181"/>
      <c r="AK276" s="181"/>
      <c r="AL276" s="181"/>
      <c r="AM276" s="181"/>
      <c r="AN276" s="181"/>
      <c r="AO276" s="181"/>
      <c r="AP276" s="181"/>
      <c r="AQ276" s="181"/>
      <c r="AR276" s="181"/>
      <c r="AS276" s="181"/>
      <c r="AT276" s="181"/>
      <c r="AU276" s="181"/>
      <c r="AV276" s="181"/>
      <c r="AW276" s="181"/>
      <c r="AX276" s="181"/>
      <c r="AY276" s="181"/>
      <c r="AZ276" s="181"/>
      <c r="BA276" s="181"/>
      <c r="BB276" s="181"/>
      <c r="BN276" s="181"/>
      <c r="BO276" s="181"/>
      <c r="BP276" s="181"/>
      <c r="BQ276" s="181"/>
      <c r="BR276" s="181"/>
      <c r="BS276" s="181"/>
      <c r="BT276" s="181"/>
      <c r="CM276" s="181"/>
      <c r="CN276" s="181"/>
      <c r="CO276" s="181"/>
      <c r="CP276" s="181"/>
      <c r="CQ276" s="181"/>
    </row>
    <row r="277" spans="1:95" s="173" customFormat="1">
      <c r="A277" s="181"/>
      <c r="B277" s="181"/>
      <c r="C277" s="181"/>
      <c r="D277" s="181"/>
      <c r="E277" s="181"/>
      <c r="F277" s="181"/>
      <c r="G277" s="181"/>
      <c r="H277" s="181"/>
      <c r="I277" s="181"/>
      <c r="J277" s="181"/>
      <c r="K277" s="181"/>
      <c r="L277" s="181"/>
      <c r="M277" s="181"/>
      <c r="N277" s="181"/>
      <c r="O277" s="181"/>
      <c r="P277" s="181"/>
      <c r="Q277" s="181"/>
      <c r="R277" s="181"/>
      <c r="S277" s="181"/>
      <c r="T277" s="181"/>
      <c r="U277" s="181"/>
      <c r="V277" s="181"/>
      <c r="W277" s="181"/>
      <c r="X277" s="181"/>
      <c r="Y277" s="181"/>
      <c r="Z277" s="181"/>
      <c r="AA277" s="181"/>
      <c r="AB277" s="181"/>
      <c r="AC277" s="181"/>
      <c r="AD277" s="181"/>
      <c r="AE277" s="181"/>
      <c r="AF277" s="181"/>
      <c r="AG277" s="181"/>
      <c r="AH277" s="181"/>
      <c r="AI277" s="181"/>
      <c r="AJ277" s="181"/>
      <c r="AK277" s="181"/>
      <c r="AL277" s="181"/>
      <c r="AM277" s="181"/>
      <c r="AN277" s="181"/>
      <c r="AO277" s="181"/>
      <c r="AP277" s="181"/>
      <c r="AQ277" s="181"/>
      <c r="AR277" s="181"/>
      <c r="AS277" s="181"/>
      <c r="AT277" s="181"/>
      <c r="AU277" s="181"/>
      <c r="AV277" s="181"/>
      <c r="AW277" s="181"/>
      <c r="AX277" s="181"/>
      <c r="AY277" s="181"/>
      <c r="AZ277" s="181"/>
      <c r="BA277" s="181"/>
      <c r="BB277" s="181"/>
      <c r="BN277" s="181"/>
      <c r="BO277" s="181"/>
      <c r="BP277" s="181"/>
      <c r="BQ277" s="181"/>
      <c r="BR277" s="181"/>
      <c r="BS277" s="181"/>
      <c r="BT277" s="181"/>
      <c r="CM277" s="181"/>
      <c r="CN277" s="181"/>
      <c r="CO277" s="181"/>
      <c r="CP277" s="181"/>
      <c r="CQ277" s="181"/>
    </row>
    <row r="278" spans="1:95" s="173" customFormat="1">
      <c r="A278" s="181"/>
      <c r="B278" s="181"/>
      <c r="C278" s="181"/>
      <c r="D278" s="181"/>
      <c r="E278" s="181"/>
      <c r="F278" s="181"/>
      <c r="G278" s="181"/>
      <c r="H278" s="181"/>
      <c r="I278" s="181"/>
      <c r="J278" s="181"/>
      <c r="K278" s="181"/>
      <c r="L278" s="181"/>
      <c r="M278" s="181"/>
      <c r="N278" s="181"/>
      <c r="O278" s="181"/>
      <c r="P278" s="181"/>
      <c r="Q278" s="181"/>
      <c r="R278" s="181"/>
      <c r="S278" s="181"/>
      <c r="T278" s="181"/>
      <c r="U278" s="181"/>
      <c r="V278" s="181"/>
      <c r="W278" s="181"/>
      <c r="X278" s="181"/>
      <c r="Y278" s="181"/>
      <c r="Z278" s="181"/>
      <c r="AA278" s="181"/>
      <c r="AB278" s="181"/>
      <c r="AC278" s="181"/>
      <c r="AD278" s="181"/>
      <c r="AE278" s="181"/>
      <c r="AF278" s="181"/>
      <c r="AG278" s="181"/>
      <c r="AH278" s="181"/>
      <c r="AI278" s="181"/>
      <c r="AJ278" s="181"/>
      <c r="AK278" s="181"/>
      <c r="AL278" s="181"/>
      <c r="AM278" s="181"/>
      <c r="AN278" s="181"/>
      <c r="AO278" s="181"/>
      <c r="AP278" s="181"/>
      <c r="AQ278" s="181"/>
      <c r="AR278" s="181"/>
      <c r="AS278" s="181"/>
      <c r="AT278" s="181"/>
      <c r="AU278" s="181"/>
      <c r="AV278" s="181"/>
      <c r="AW278" s="181"/>
      <c r="AX278" s="181"/>
      <c r="AY278" s="181"/>
      <c r="AZ278" s="181"/>
      <c r="BA278" s="181"/>
      <c r="BB278" s="181"/>
      <c r="BN278" s="181"/>
      <c r="BO278" s="181"/>
      <c r="BP278" s="181"/>
      <c r="BQ278" s="181"/>
      <c r="BR278" s="181"/>
      <c r="BS278" s="181"/>
      <c r="BT278" s="181"/>
      <c r="CM278" s="181"/>
      <c r="CN278" s="181"/>
      <c r="CO278" s="181"/>
      <c r="CP278" s="181"/>
      <c r="CQ278" s="181"/>
    </row>
    <row r="279" spans="1:95" s="173" customFormat="1">
      <c r="A279" s="181"/>
      <c r="B279" s="181"/>
      <c r="C279" s="181"/>
      <c r="D279" s="181"/>
      <c r="E279" s="181"/>
      <c r="F279" s="181"/>
      <c r="G279" s="181"/>
      <c r="H279" s="181"/>
      <c r="I279" s="181"/>
      <c r="J279" s="181"/>
      <c r="K279" s="181"/>
      <c r="L279" s="181"/>
      <c r="M279" s="181"/>
      <c r="N279" s="181"/>
      <c r="O279" s="181"/>
      <c r="P279" s="181"/>
      <c r="Q279" s="181"/>
      <c r="R279" s="181"/>
      <c r="S279" s="181"/>
      <c r="T279" s="181"/>
      <c r="U279" s="181"/>
      <c r="V279" s="181"/>
      <c r="W279" s="181"/>
      <c r="X279" s="181"/>
      <c r="Y279" s="181"/>
      <c r="Z279" s="181"/>
      <c r="AA279" s="181"/>
      <c r="AB279" s="181"/>
      <c r="AC279" s="181"/>
      <c r="AD279" s="181"/>
      <c r="AE279" s="181"/>
      <c r="AF279" s="181"/>
      <c r="AG279" s="181"/>
      <c r="AH279" s="181"/>
      <c r="AI279" s="181"/>
      <c r="AJ279" s="181"/>
      <c r="AK279" s="181"/>
      <c r="AL279" s="181"/>
      <c r="AM279" s="181"/>
      <c r="AN279" s="181"/>
      <c r="AO279" s="181"/>
      <c r="AP279" s="181"/>
      <c r="AQ279" s="181"/>
      <c r="AR279" s="181"/>
      <c r="AS279" s="181"/>
      <c r="AT279" s="181"/>
      <c r="AU279" s="181"/>
      <c r="AV279" s="181"/>
      <c r="AW279" s="181"/>
      <c r="AX279" s="181"/>
      <c r="AY279" s="181"/>
      <c r="AZ279" s="181"/>
      <c r="BA279" s="181"/>
      <c r="BB279" s="181"/>
      <c r="BN279" s="181"/>
      <c r="BO279" s="181"/>
      <c r="BP279" s="181"/>
      <c r="BQ279" s="181"/>
      <c r="BR279" s="181"/>
      <c r="BS279" s="181"/>
      <c r="BT279" s="181"/>
      <c r="CM279" s="181"/>
      <c r="CN279" s="181"/>
      <c r="CO279" s="181"/>
      <c r="CP279" s="181"/>
      <c r="CQ279" s="181"/>
    </row>
    <row r="280" spans="1:95" s="173" customFormat="1">
      <c r="A280" s="181"/>
      <c r="B280" s="181"/>
      <c r="C280" s="181"/>
      <c r="D280" s="181"/>
      <c r="E280" s="181"/>
      <c r="F280" s="181"/>
      <c r="G280" s="181"/>
      <c r="H280" s="181"/>
      <c r="I280" s="181"/>
      <c r="J280" s="181"/>
      <c r="K280" s="181"/>
      <c r="L280" s="181"/>
      <c r="M280" s="181"/>
      <c r="N280" s="181"/>
      <c r="O280" s="181"/>
      <c r="P280" s="181"/>
      <c r="Q280" s="181"/>
      <c r="R280" s="181"/>
      <c r="S280" s="181"/>
      <c r="T280" s="181"/>
      <c r="U280" s="181"/>
      <c r="V280" s="181"/>
      <c r="W280" s="181"/>
      <c r="X280" s="181"/>
      <c r="Y280" s="181"/>
      <c r="Z280" s="181"/>
      <c r="AA280" s="181"/>
      <c r="AB280" s="181"/>
      <c r="AC280" s="181"/>
      <c r="AD280" s="181"/>
      <c r="AE280" s="181"/>
      <c r="AF280" s="181"/>
      <c r="AG280" s="181"/>
      <c r="AH280" s="181"/>
      <c r="AI280" s="181"/>
      <c r="AJ280" s="181"/>
      <c r="AK280" s="181"/>
      <c r="AL280" s="181"/>
      <c r="AM280" s="181"/>
      <c r="AN280" s="181"/>
      <c r="AO280" s="181"/>
      <c r="AP280" s="181"/>
      <c r="AQ280" s="181"/>
      <c r="AR280" s="181"/>
      <c r="AS280" s="181"/>
      <c r="AT280" s="181"/>
      <c r="AU280" s="181"/>
      <c r="AV280" s="181"/>
      <c r="AW280" s="181"/>
      <c r="AX280" s="181"/>
      <c r="AY280" s="181"/>
      <c r="AZ280" s="181"/>
      <c r="BA280" s="181"/>
      <c r="BB280" s="181"/>
      <c r="BN280" s="181"/>
      <c r="BO280" s="181"/>
      <c r="BP280" s="181"/>
      <c r="BQ280" s="181"/>
      <c r="BR280" s="181"/>
      <c r="BS280" s="181"/>
      <c r="BT280" s="181"/>
      <c r="CM280" s="181"/>
      <c r="CN280" s="181"/>
      <c r="CO280" s="181"/>
      <c r="CP280" s="181"/>
      <c r="CQ280" s="181"/>
    </row>
    <row r="281" spans="1:95" s="173" customFormat="1">
      <c r="A281" s="181"/>
      <c r="B281" s="181"/>
      <c r="C281" s="181"/>
      <c r="D281" s="181"/>
      <c r="E281" s="181"/>
      <c r="F281" s="181"/>
      <c r="G281" s="181"/>
      <c r="H281" s="181"/>
      <c r="I281" s="181"/>
      <c r="J281" s="181"/>
      <c r="K281" s="181"/>
      <c r="L281" s="181"/>
      <c r="M281" s="181"/>
      <c r="N281" s="181"/>
      <c r="O281" s="181"/>
      <c r="P281" s="181"/>
      <c r="Q281" s="181"/>
      <c r="R281" s="181"/>
      <c r="S281" s="181"/>
      <c r="T281" s="181"/>
      <c r="U281" s="181"/>
      <c r="V281" s="181"/>
      <c r="W281" s="181"/>
      <c r="X281" s="181"/>
      <c r="Y281" s="181"/>
      <c r="Z281" s="181"/>
      <c r="AA281" s="181"/>
      <c r="AB281" s="181"/>
      <c r="AC281" s="181"/>
      <c r="AD281" s="181"/>
      <c r="AE281" s="181"/>
      <c r="AF281" s="181"/>
      <c r="AG281" s="181"/>
      <c r="AH281" s="181"/>
      <c r="AI281" s="181"/>
      <c r="AJ281" s="181"/>
      <c r="AK281" s="181"/>
      <c r="AL281" s="181"/>
      <c r="AM281" s="181"/>
      <c r="AN281" s="181"/>
      <c r="AO281" s="181"/>
      <c r="AP281" s="181"/>
      <c r="AQ281" s="181"/>
      <c r="AR281" s="181"/>
      <c r="AS281" s="181"/>
      <c r="AT281" s="181"/>
      <c r="AU281" s="181"/>
      <c r="AV281" s="181"/>
      <c r="AW281" s="181"/>
      <c r="AX281" s="181"/>
      <c r="AY281" s="181"/>
      <c r="AZ281" s="181"/>
      <c r="BA281" s="181"/>
      <c r="BB281" s="181"/>
      <c r="BN281" s="181"/>
      <c r="BO281" s="181"/>
      <c r="BP281" s="181"/>
      <c r="BQ281" s="181"/>
      <c r="BR281" s="181"/>
      <c r="BS281" s="181"/>
      <c r="BT281" s="181"/>
      <c r="CM281" s="181"/>
      <c r="CN281" s="181"/>
      <c r="CO281" s="181"/>
      <c r="CP281" s="181"/>
      <c r="CQ281" s="181"/>
    </row>
    <row r="282" spans="1:95" s="173" customFormat="1">
      <c r="A282" s="181"/>
      <c r="B282" s="181"/>
      <c r="C282" s="181"/>
      <c r="D282" s="181"/>
      <c r="E282" s="181"/>
      <c r="F282" s="181"/>
      <c r="G282" s="181"/>
      <c r="H282" s="181"/>
      <c r="I282" s="181"/>
      <c r="J282" s="181"/>
      <c r="K282" s="181"/>
      <c r="L282" s="181"/>
      <c r="M282" s="181"/>
      <c r="N282" s="181"/>
      <c r="O282" s="181"/>
      <c r="P282" s="181"/>
      <c r="Q282" s="181"/>
      <c r="R282" s="181"/>
      <c r="S282" s="181"/>
      <c r="T282" s="181"/>
      <c r="U282" s="181"/>
      <c r="V282" s="181"/>
      <c r="W282" s="181"/>
      <c r="X282" s="181"/>
      <c r="Y282" s="181"/>
      <c r="Z282" s="181"/>
      <c r="AA282" s="181"/>
      <c r="AB282" s="181"/>
      <c r="AC282" s="181"/>
      <c r="AD282" s="181"/>
      <c r="AE282" s="181"/>
      <c r="AF282" s="181"/>
      <c r="AG282" s="181"/>
      <c r="AH282" s="181"/>
      <c r="AI282" s="181"/>
      <c r="AJ282" s="181"/>
      <c r="AK282" s="181"/>
      <c r="AL282" s="181"/>
      <c r="AM282" s="181"/>
      <c r="AN282" s="181"/>
      <c r="AO282" s="181"/>
      <c r="AP282" s="181"/>
      <c r="AQ282" s="181"/>
      <c r="AR282" s="181"/>
      <c r="AS282" s="181"/>
      <c r="AT282" s="181"/>
      <c r="AU282" s="181"/>
      <c r="AV282" s="181"/>
      <c r="AW282" s="181"/>
      <c r="AX282" s="181"/>
      <c r="AY282" s="181"/>
      <c r="AZ282" s="181"/>
      <c r="BA282" s="181"/>
      <c r="BB282" s="181"/>
      <c r="BN282" s="181"/>
      <c r="BO282" s="181"/>
      <c r="BP282" s="181"/>
      <c r="BQ282" s="181"/>
      <c r="BR282" s="181"/>
      <c r="BS282" s="181"/>
      <c r="BT282" s="181"/>
      <c r="CM282" s="181"/>
      <c r="CN282" s="181"/>
      <c r="CO282" s="181"/>
      <c r="CP282" s="181"/>
      <c r="CQ282" s="181"/>
    </row>
    <row r="283" spans="1:95" s="173" customFormat="1">
      <c r="A283" s="181"/>
      <c r="B283" s="181"/>
      <c r="C283" s="181"/>
      <c r="D283" s="181"/>
      <c r="E283" s="181"/>
      <c r="F283" s="181"/>
      <c r="G283" s="181"/>
      <c r="H283" s="181"/>
      <c r="I283" s="181"/>
      <c r="J283" s="181"/>
      <c r="K283" s="181"/>
      <c r="L283" s="181"/>
      <c r="M283" s="181"/>
      <c r="N283" s="181"/>
      <c r="O283" s="181"/>
      <c r="P283" s="181"/>
      <c r="Q283" s="181"/>
      <c r="R283" s="181"/>
      <c r="S283" s="181"/>
      <c r="T283" s="181"/>
      <c r="U283" s="181"/>
      <c r="V283" s="181"/>
      <c r="W283" s="181"/>
      <c r="X283" s="181"/>
      <c r="Y283" s="181"/>
      <c r="Z283" s="181"/>
      <c r="AA283" s="181"/>
      <c r="AB283" s="181"/>
      <c r="AC283" s="181"/>
      <c r="AD283" s="181"/>
      <c r="AE283" s="181"/>
      <c r="AF283" s="181"/>
      <c r="AG283" s="181"/>
      <c r="AH283" s="181"/>
      <c r="AI283" s="181"/>
      <c r="AJ283" s="181"/>
      <c r="AK283" s="181"/>
      <c r="AL283" s="181"/>
      <c r="AM283" s="181"/>
      <c r="AN283" s="181"/>
      <c r="AO283" s="181"/>
      <c r="AP283" s="181"/>
      <c r="AQ283" s="181"/>
      <c r="AR283" s="181"/>
      <c r="AS283" s="181"/>
      <c r="AT283" s="181"/>
      <c r="AU283" s="181"/>
      <c r="AV283" s="181"/>
      <c r="AW283" s="181"/>
      <c r="AX283" s="181"/>
      <c r="AY283" s="181"/>
      <c r="AZ283" s="181"/>
      <c r="BA283" s="181"/>
      <c r="BB283" s="181"/>
      <c r="BN283" s="181"/>
      <c r="BO283" s="181"/>
      <c r="BP283" s="181"/>
      <c r="BQ283" s="181"/>
      <c r="BR283" s="181"/>
      <c r="BS283" s="181"/>
      <c r="BT283" s="181"/>
      <c r="CM283" s="181"/>
      <c r="CN283" s="181"/>
      <c r="CO283" s="181"/>
      <c r="CP283" s="181"/>
      <c r="CQ283" s="181"/>
    </row>
    <row r="284" spans="1:95" s="173" customFormat="1">
      <c r="A284" s="181"/>
      <c r="B284" s="181"/>
      <c r="C284" s="181"/>
      <c r="D284" s="181"/>
      <c r="E284" s="181"/>
      <c r="F284" s="181"/>
      <c r="G284" s="181"/>
      <c r="H284" s="181"/>
      <c r="I284" s="181"/>
      <c r="J284" s="181"/>
      <c r="K284" s="181"/>
      <c r="L284" s="181"/>
      <c r="M284" s="181"/>
      <c r="N284" s="181"/>
      <c r="O284" s="181"/>
      <c r="P284" s="181"/>
      <c r="Q284" s="181"/>
      <c r="R284" s="181"/>
      <c r="S284" s="181"/>
      <c r="T284" s="181"/>
      <c r="U284" s="181"/>
      <c r="V284" s="181"/>
      <c r="W284" s="181"/>
      <c r="X284" s="181"/>
      <c r="Y284" s="181"/>
      <c r="Z284" s="181"/>
      <c r="AA284" s="181"/>
      <c r="AB284" s="181"/>
      <c r="AC284" s="181"/>
      <c r="AD284" s="181"/>
      <c r="AE284" s="181"/>
      <c r="AF284" s="181"/>
      <c r="AG284" s="181"/>
      <c r="AH284" s="181"/>
      <c r="AI284" s="181"/>
      <c r="AJ284" s="181"/>
      <c r="AK284" s="181"/>
      <c r="AL284" s="181"/>
      <c r="AM284" s="181"/>
      <c r="AN284" s="181"/>
      <c r="AO284" s="181"/>
      <c r="AP284" s="181"/>
      <c r="AQ284" s="181"/>
      <c r="AR284" s="181"/>
      <c r="AS284" s="181"/>
      <c r="AT284" s="181"/>
      <c r="AU284" s="181"/>
      <c r="AV284" s="181"/>
      <c r="AW284" s="181"/>
      <c r="AX284" s="181"/>
      <c r="AY284" s="181"/>
      <c r="AZ284" s="181"/>
      <c r="BA284" s="181"/>
      <c r="BB284" s="181"/>
      <c r="BN284" s="181"/>
      <c r="BO284" s="181"/>
      <c r="BP284" s="181"/>
      <c r="BQ284" s="181"/>
      <c r="BR284" s="181"/>
      <c r="BS284" s="181"/>
      <c r="BT284" s="181"/>
      <c r="CM284" s="181"/>
      <c r="CN284" s="181"/>
      <c r="CO284" s="181"/>
      <c r="CP284" s="181"/>
      <c r="CQ284" s="181"/>
    </row>
    <row r="285" spans="1:95" s="173" customFormat="1">
      <c r="A285" s="181"/>
      <c r="B285" s="181"/>
      <c r="C285" s="181"/>
      <c r="D285" s="181"/>
      <c r="E285" s="181"/>
      <c r="F285" s="181"/>
      <c r="G285" s="181"/>
      <c r="H285" s="181"/>
      <c r="I285" s="181"/>
      <c r="J285" s="181"/>
      <c r="K285" s="181"/>
      <c r="L285" s="181"/>
      <c r="M285" s="181"/>
      <c r="N285" s="181"/>
      <c r="O285" s="181"/>
      <c r="P285" s="181"/>
      <c r="Q285" s="181"/>
      <c r="R285" s="181"/>
      <c r="S285" s="181"/>
      <c r="T285" s="181"/>
      <c r="U285" s="181"/>
      <c r="V285" s="181"/>
      <c r="W285" s="181"/>
      <c r="X285" s="181"/>
      <c r="Y285" s="181"/>
      <c r="Z285" s="181"/>
      <c r="AA285" s="181"/>
      <c r="AB285" s="181"/>
      <c r="AC285" s="181"/>
      <c r="AD285" s="181"/>
      <c r="AE285" s="181"/>
      <c r="AF285" s="181"/>
      <c r="AG285" s="181"/>
      <c r="AH285" s="181"/>
      <c r="AI285" s="181"/>
      <c r="AJ285" s="181"/>
      <c r="AK285" s="181"/>
      <c r="AL285" s="181"/>
      <c r="AM285" s="181"/>
      <c r="AN285" s="181"/>
      <c r="AO285" s="181"/>
      <c r="AP285" s="181"/>
      <c r="AQ285" s="181"/>
      <c r="AR285" s="181"/>
      <c r="AS285" s="181"/>
      <c r="AT285" s="181"/>
      <c r="AU285" s="181"/>
      <c r="AV285" s="181"/>
      <c r="AW285" s="181"/>
      <c r="AX285" s="181"/>
      <c r="AY285" s="181"/>
      <c r="AZ285" s="181"/>
      <c r="BA285" s="181"/>
      <c r="BB285" s="181"/>
      <c r="BN285" s="181"/>
      <c r="BO285" s="181"/>
      <c r="BP285" s="181"/>
      <c r="BQ285" s="181"/>
      <c r="BR285" s="181"/>
      <c r="BS285" s="181"/>
      <c r="BT285" s="181"/>
      <c r="CM285" s="181"/>
      <c r="CN285" s="181"/>
      <c r="CO285" s="181"/>
      <c r="CP285" s="181"/>
      <c r="CQ285" s="181"/>
    </row>
    <row r="286" spans="1:95" s="173" customFormat="1">
      <c r="A286" s="181"/>
      <c r="B286" s="181"/>
      <c r="C286" s="181"/>
      <c r="D286" s="181"/>
      <c r="E286" s="181"/>
      <c r="F286" s="181"/>
      <c r="G286" s="181"/>
      <c r="H286" s="181"/>
      <c r="I286" s="181"/>
      <c r="J286" s="181"/>
      <c r="K286" s="181"/>
      <c r="L286" s="181"/>
      <c r="M286" s="181"/>
      <c r="N286" s="181"/>
      <c r="O286" s="181"/>
      <c r="P286" s="181"/>
      <c r="Q286" s="181"/>
      <c r="R286" s="181"/>
      <c r="S286" s="181"/>
      <c r="T286" s="181"/>
      <c r="U286" s="181"/>
      <c r="V286" s="181"/>
      <c r="W286" s="181"/>
      <c r="X286" s="181"/>
      <c r="Y286" s="181"/>
      <c r="Z286" s="181"/>
      <c r="AA286" s="181"/>
      <c r="AB286" s="181"/>
      <c r="AC286" s="181"/>
      <c r="AD286" s="181"/>
      <c r="AE286" s="181"/>
      <c r="AF286" s="181"/>
      <c r="AG286" s="181"/>
      <c r="AH286" s="181"/>
      <c r="AI286" s="181"/>
      <c r="AJ286" s="181"/>
      <c r="AK286" s="181"/>
      <c r="AL286" s="181"/>
      <c r="AM286" s="181"/>
      <c r="AN286" s="181"/>
      <c r="AO286" s="181"/>
      <c r="AP286" s="181"/>
      <c r="AQ286" s="181"/>
      <c r="AR286" s="181"/>
      <c r="AS286" s="181"/>
      <c r="AT286" s="181"/>
      <c r="AU286" s="181"/>
      <c r="AV286" s="181"/>
      <c r="AW286" s="181"/>
      <c r="AX286" s="181"/>
      <c r="AY286" s="181"/>
      <c r="AZ286" s="181"/>
      <c r="BA286" s="181"/>
      <c r="BB286" s="181"/>
      <c r="BN286" s="181"/>
      <c r="BO286" s="181"/>
      <c r="BP286" s="181"/>
      <c r="BQ286" s="181"/>
      <c r="BR286" s="181"/>
      <c r="BS286" s="181"/>
      <c r="BT286" s="181"/>
      <c r="CM286" s="181"/>
      <c r="CN286" s="181"/>
      <c r="CO286" s="181"/>
      <c r="CP286" s="181"/>
      <c r="CQ286" s="181"/>
    </row>
    <row r="287" spans="1:95" s="173" customFormat="1">
      <c r="A287" s="181"/>
      <c r="B287" s="181"/>
      <c r="C287" s="181"/>
      <c r="D287" s="181"/>
      <c r="E287" s="181"/>
      <c r="F287" s="181"/>
      <c r="G287" s="181"/>
      <c r="H287" s="181"/>
      <c r="I287" s="181"/>
      <c r="J287" s="181"/>
      <c r="K287" s="181"/>
      <c r="L287" s="181"/>
      <c r="M287" s="181"/>
      <c r="N287" s="181"/>
      <c r="O287" s="181"/>
      <c r="P287" s="181"/>
      <c r="Q287" s="181"/>
      <c r="R287" s="181"/>
      <c r="S287" s="181"/>
      <c r="T287" s="181"/>
      <c r="U287" s="181"/>
      <c r="V287" s="181"/>
      <c r="W287" s="181"/>
      <c r="X287" s="181"/>
      <c r="Y287" s="181"/>
      <c r="Z287" s="181"/>
      <c r="AA287" s="181"/>
      <c r="AB287" s="181"/>
      <c r="AC287" s="181"/>
      <c r="AD287" s="181"/>
      <c r="AE287" s="181"/>
      <c r="AF287" s="181"/>
      <c r="AG287" s="181"/>
      <c r="AH287" s="181"/>
      <c r="AI287" s="181"/>
      <c r="AJ287" s="181"/>
      <c r="AK287" s="181"/>
      <c r="AL287" s="181"/>
      <c r="AM287" s="181"/>
      <c r="AN287" s="181"/>
      <c r="AO287" s="181"/>
      <c r="AP287" s="181"/>
      <c r="AQ287" s="181"/>
      <c r="AR287" s="181"/>
      <c r="AS287" s="181"/>
      <c r="AT287" s="181"/>
      <c r="AU287" s="181"/>
      <c r="AV287" s="181"/>
      <c r="AW287" s="181"/>
      <c r="AX287" s="181"/>
      <c r="AY287" s="181"/>
      <c r="AZ287" s="181"/>
      <c r="BA287" s="181"/>
      <c r="BB287" s="181"/>
      <c r="BN287" s="181"/>
      <c r="BO287" s="181"/>
      <c r="BP287" s="181"/>
      <c r="BQ287" s="181"/>
      <c r="BR287" s="181"/>
      <c r="BS287" s="181"/>
      <c r="BT287" s="181"/>
      <c r="CM287" s="181"/>
      <c r="CN287" s="181"/>
      <c r="CO287" s="181"/>
      <c r="CP287" s="181"/>
      <c r="CQ287" s="181"/>
    </row>
    <row r="288" spans="1:95" s="173" customFormat="1">
      <c r="A288" s="181"/>
      <c r="B288" s="181"/>
      <c r="C288" s="181"/>
      <c r="D288" s="181"/>
      <c r="E288" s="181"/>
      <c r="F288" s="181"/>
      <c r="G288" s="181"/>
      <c r="H288" s="181"/>
      <c r="I288" s="181"/>
      <c r="J288" s="181"/>
      <c r="K288" s="181"/>
      <c r="L288" s="181"/>
      <c r="M288" s="181"/>
      <c r="N288" s="181"/>
      <c r="O288" s="181"/>
      <c r="P288" s="181"/>
      <c r="Q288" s="181"/>
      <c r="R288" s="181"/>
      <c r="S288" s="181"/>
      <c r="T288" s="181"/>
      <c r="U288" s="181"/>
      <c r="V288" s="181"/>
      <c r="W288" s="181"/>
      <c r="X288" s="181"/>
      <c r="Y288" s="181"/>
      <c r="Z288" s="181"/>
      <c r="AA288" s="181"/>
      <c r="AB288" s="181"/>
      <c r="AC288" s="181"/>
      <c r="AD288" s="181"/>
      <c r="AE288" s="181"/>
      <c r="AF288" s="181"/>
      <c r="AG288" s="181"/>
      <c r="AH288" s="181"/>
      <c r="AI288" s="181"/>
      <c r="AJ288" s="181"/>
      <c r="AK288" s="181"/>
      <c r="AL288" s="181"/>
      <c r="AM288" s="181"/>
      <c r="AN288" s="181"/>
      <c r="AO288" s="181"/>
      <c r="AP288" s="181"/>
      <c r="AQ288" s="181"/>
      <c r="AR288" s="181"/>
      <c r="AS288" s="181"/>
      <c r="AT288" s="181"/>
      <c r="AU288" s="181"/>
      <c r="AV288" s="181"/>
      <c r="AW288" s="181"/>
      <c r="AX288" s="181"/>
      <c r="AY288" s="181"/>
      <c r="AZ288" s="181"/>
      <c r="BA288" s="181"/>
      <c r="BB288" s="181"/>
      <c r="BN288" s="181"/>
      <c r="BO288" s="181"/>
      <c r="BP288" s="181"/>
      <c r="BQ288" s="181"/>
      <c r="BR288" s="181"/>
      <c r="BS288" s="181"/>
      <c r="BT288" s="181"/>
      <c r="CM288" s="181"/>
      <c r="CN288" s="181"/>
      <c r="CO288" s="181"/>
      <c r="CP288" s="181"/>
      <c r="CQ288" s="181"/>
    </row>
    <row r="289" spans="1:95" s="173" customFormat="1">
      <c r="A289" s="181"/>
      <c r="B289" s="181"/>
      <c r="C289" s="181"/>
      <c r="D289" s="181"/>
      <c r="E289" s="181"/>
      <c r="F289" s="181"/>
      <c r="G289" s="181"/>
      <c r="H289" s="181"/>
      <c r="I289" s="181"/>
      <c r="J289" s="181"/>
      <c r="K289" s="181"/>
      <c r="L289" s="181"/>
      <c r="M289" s="181"/>
      <c r="N289" s="181"/>
      <c r="O289" s="181"/>
      <c r="P289" s="181"/>
      <c r="Q289" s="181"/>
      <c r="R289" s="181"/>
      <c r="S289" s="181"/>
      <c r="T289" s="181"/>
      <c r="U289" s="181"/>
      <c r="V289" s="181"/>
      <c r="W289" s="181"/>
      <c r="X289" s="181"/>
      <c r="Y289" s="181"/>
      <c r="Z289" s="181"/>
      <c r="AA289" s="181"/>
      <c r="AB289" s="181"/>
      <c r="AC289" s="181"/>
      <c r="AD289" s="181"/>
      <c r="AE289" s="181"/>
      <c r="AF289" s="181"/>
      <c r="AG289" s="181"/>
      <c r="AH289" s="181"/>
      <c r="AI289" s="181"/>
      <c r="AJ289" s="181"/>
      <c r="AK289" s="181"/>
      <c r="AL289" s="181"/>
      <c r="AM289" s="181"/>
      <c r="AN289" s="181"/>
      <c r="AO289" s="181"/>
      <c r="AP289" s="181"/>
      <c r="AQ289" s="181"/>
      <c r="AR289" s="181"/>
      <c r="AS289" s="181"/>
      <c r="AT289" s="181"/>
      <c r="AU289" s="181"/>
      <c r="AV289" s="181"/>
      <c r="AW289" s="181"/>
      <c r="AX289" s="181"/>
      <c r="AY289" s="181"/>
      <c r="AZ289" s="181"/>
      <c r="BA289" s="181"/>
      <c r="BB289" s="181"/>
      <c r="BN289" s="181"/>
      <c r="BO289" s="181"/>
      <c r="BP289" s="181"/>
      <c r="BQ289" s="181"/>
      <c r="BR289" s="181"/>
      <c r="BS289" s="181"/>
      <c r="BT289" s="181"/>
      <c r="CM289" s="181"/>
      <c r="CN289" s="181"/>
      <c r="CO289" s="181"/>
      <c r="CP289" s="181"/>
      <c r="CQ289" s="181"/>
    </row>
    <row r="290" spans="1:95" s="173" customFormat="1">
      <c r="A290" s="181"/>
      <c r="B290" s="181"/>
      <c r="C290" s="181"/>
      <c r="D290" s="181"/>
      <c r="E290" s="181"/>
      <c r="F290" s="181"/>
      <c r="G290" s="181"/>
      <c r="H290" s="181"/>
      <c r="I290" s="181"/>
      <c r="J290" s="181"/>
      <c r="K290" s="181"/>
      <c r="L290" s="181"/>
      <c r="M290" s="181"/>
      <c r="N290" s="181"/>
      <c r="O290" s="181"/>
      <c r="P290" s="181"/>
      <c r="Q290" s="181"/>
      <c r="R290" s="181"/>
      <c r="S290" s="181"/>
      <c r="T290" s="181"/>
      <c r="U290" s="181"/>
      <c r="V290" s="181"/>
      <c r="W290" s="181"/>
      <c r="X290" s="181"/>
      <c r="Y290" s="181"/>
      <c r="Z290" s="181"/>
      <c r="AA290" s="181"/>
      <c r="AB290" s="181"/>
      <c r="AC290" s="181"/>
      <c r="AD290" s="181"/>
      <c r="AE290" s="181"/>
      <c r="AF290" s="181"/>
      <c r="AG290" s="181"/>
      <c r="AH290" s="181"/>
      <c r="AI290" s="181"/>
      <c r="AJ290" s="181"/>
      <c r="AK290" s="181"/>
      <c r="AL290" s="181"/>
      <c r="AM290" s="181"/>
      <c r="AN290" s="181"/>
      <c r="AO290" s="181"/>
      <c r="AP290" s="181"/>
      <c r="AQ290" s="181"/>
      <c r="AR290" s="181"/>
      <c r="AS290" s="181"/>
      <c r="AT290" s="181"/>
      <c r="AU290" s="181"/>
      <c r="AV290" s="181"/>
      <c r="AW290" s="181"/>
      <c r="AX290" s="181"/>
      <c r="AY290" s="181"/>
      <c r="AZ290" s="181"/>
      <c r="BA290" s="181"/>
      <c r="BB290" s="181"/>
      <c r="BN290" s="181"/>
      <c r="BO290" s="181"/>
      <c r="BP290" s="181"/>
      <c r="BQ290" s="181"/>
      <c r="BR290" s="181"/>
      <c r="BS290" s="181"/>
      <c r="BT290" s="181"/>
      <c r="CM290" s="181"/>
      <c r="CN290" s="181"/>
      <c r="CO290" s="181"/>
      <c r="CP290" s="181"/>
      <c r="CQ290" s="181"/>
    </row>
    <row r="291" spans="1:95" s="173" customFormat="1">
      <c r="A291" s="181"/>
      <c r="B291" s="181"/>
      <c r="C291" s="181"/>
      <c r="D291" s="181"/>
      <c r="E291" s="181"/>
      <c r="F291" s="181"/>
      <c r="G291" s="181"/>
      <c r="H291" s="181"/>
      <c r="I291" s="181"/>
      <c r="J291" s="181"/>
      <c r="K291" s="181"/>
      <c r="L291" s="181"/>
      <c r="M291" s="181"/>
      <c r="N291" s="181"/>
      <c r="O291" s="181"/>
      <c r="P291" s="181"/>
      <c r="Q291" s="181"/>
      <c r="R291" s="181"/>
      <c r="S291" s="181"/>
      <c r="T291" s="181"/>
      <c r="U291" s="181"/>
      <c r="V291" s="181"/>
      <c r="W291" s="181"/>
      <c r="X291" s="181"/>
      <c r="Y291" s="181"/>
      <c r="Z291" s="181"/>
      <c r="AA291" s="181"/>
      <c r="AB291" s="181"/>
      <c r="AC291" s="181"/>
      <c r="AD291" s="181"/>
      <c r="AE291" s="181"/>
      <c r="AF291" s="181"/>
      <c r="AG291" s="181"/>
      <c r="AH291" s="181"/>
      <c r="AI291" s="181"/>
      <c r="AJ291" s="181"/>
      <c r="AK291" s="181"/>
      <c r="AL291" s="181"/>
      <c r="AM291" s="181"/>
      <c r="AN291" s="181"/>
      <c r="AO291" s="181"/>
      <c r="AP291" s="181"/>
      <c r="AQ291" s="181"/>
      <c r="AR291" s="181"/>
      <c r="AS291" s="181"/>
      <c r="AT291" s="181"/>
      <c r="AU291" s="181"/>
      <c r="AV291" s="181"/>
      <c r="AW291" s="181"/>
      <c r="AX291" s="181"/>
      <c r="AY291" s="181"/>
      <c r="AZ291" s="181"/>
      <c r="BA291" s="181"/>
      <c r="BB291" s="181"/>
      <c r="BN291" s="181"/>
      <c r="BO291" s="181"/>
      <c r="BP291" s="181"/>
      <c r="BQ291" s="181"/>
      <c r="BR291" s="181"/>
      <c r="BS291" s="181"/>
      <c r="BT291" s="181"/>
      <c r="CM291" s="181"/>
      <c r="CN291" s="181"/>
      <c r="CO291" s="181"/>
      <c r="CP291" s="181"/>
      <c r="CQ291" s="181"/>
    </row>
    <row r="292" spans="1:95" s="173" customFormat="1">
      <c r="A292" s="181"/>
      <c r="B292" s="181"/>
      <c r="C292" s="181"/>
      <c r="D292" s="181"/>
      <c r="E292" s="181"/>
      <c r="F292" s="181"/>
      <c r="G292" s="181"/>
      <c r="H292" s="181"/>
      <c r="I292" s="181"/>
      <c r="J292" s="181"/>
      <c r="K292" s="181"/>
      <c r="L292" s="181"/>
      <c r="M292" s="181"/>
      <c r="N292" s="181"/>
      <c r="O292" s="181"/>
      <c r="P292" s="181"/>
      <c r="Q292" s="181"/>
      <c r="R292" s="181"/>
      <c r="S292" s="181"/>
      <c r="T292" s="181"/>
      <c r="U292" s="181"/>
      <c r="V292" s="181"/>
      <c r="W292" s="181"/>
      <c r="X292" s="181"/>
      <c r="Y292" s="181"/>
      <c r="Z292" s="181"/>
      <c r="AA292" s="181"/>
      <c r="AB292" s="181"/>
      <c r="AC292" s="181"/>
      <c r="AD292" s="181"/>
      <c r="AE292" s="181"/>
      <c r="AF292" s="181"/>
      <c r="AG292" s="181"/>
      <c r="AH292" s="181"/>
      <c r="AI292" s="181"/>
      <c r="AJ292" s="181"/>
      <c r="AK292" s="181"/>
      <c r="AL292" s="181"/>
      <c r="AM292" s="181"/>
      <c r="AN292" s="181"/>
      <c r="AO292" s="181"/>
      <c r="AP292" s="181"/>
      <c r="AQ292" s="181"/>
      <c r="AR292" s="181"/>
      <c r="AS292" s="181"/>
      <c r="AT292" s="181"/>
      <c r="AU292" s="181"/>
      <c r="AV292" s="181"/>
      <c r="AW292" s="181"/>
      <c r="AX292" s="181"/>
      <c r="AY292" s="181"/>
      <c r="AZ292" s="181"/>
      <c r="BA292" s="181"/>
      <c r="BB292" s="181"/>
      <c r="BN292" s="181"/>
      <c r="BO292" s="181"/>
      <c r="BP292" s="181"/>
      <c r="BQ292" s="181"/>
      <c r="BR292" s="181"/>
      <c r="BS292" s="181"/>
      <c r="BT292" s="181"/>
      <c r="CM292" s="181"/>
      <c r="CN292" s="181"/>
      <c r="CO292" s="181"/>
      <c r="CP292" s="181"/>
      <c r="CQ292" s="181"/>
    </row>
    <row r="293" spans="1:95" s="173" customFormat="1">
      <c r="A293" s="181"/>
      <c r="B293" s="181"/>
      <c r="C293" s="181"/>
      <c r="D293" s="181"/>
      <c r="E293" s="181"/>
      <c r="F293" s="181"/>
      <c r="G293" s="181"/>
      <c r="H293" s="181"/>
      <c r="I293" s="181"/>
      <c r="J293" s="181"/>
      <c r="K293" s="181"/>
      <c r="L293" s="181"/>
      <c r="M293" s="181"/>
      <c r="N293" s="181"/>
      <c r="O293" s="181"/>
      <c r="P293" s="181"/>
      <c r="Q293" s="181"/>
      <c r="R293" s="181"/>
      <c r="S293" s="181"/>
      <c r="T293" s="181"/>
      <c r="U293" s="181"/>
      <c r="V293" s="181"/>
      <c r="W293" s="181"/>
      <c r="X293" s="181"/>
      <c r="Y293" s="181"/>
      <c r="Z293" s="181"/>
      <c r="AA293" s="181"/>
      <c r="AB293" s="181"/>
      <c r="AC293" s="181"/>
      <c r="AD293" s="181"/>
      <c r="AE293" s="181"/>
      <c r="AF293" s="181"/>
      <c r="AG293" s="181"/>
      <c r="AH293" s="181"/>
      <c r="AI293" s="181"/>
      <c r="AJ293" s="181"/>
      <c r="AK293" s="181"/>
      <c r="AL293" s="181"/>
      <c r="AM293" s="181"/>
      <c r="AN293" s="181"/>
      <c r="AO293" s="181"/>
      <c r="AP293" s="181"/>
      <c r="AQ293" s="181"/>
      <c r="AR293" s="181"/>
      <c r="AS293" s="181"/>
      <c r="AT293" s="181"/>
      <c r="AU293" s="181"/>
      <c r="AV293" s="181"/>
      <c r="AW293" s="181"/>
      <c r="AX293" s="181"/>
      <c r="AY293" s="181"/>
      <c r="AZ293" s="181"/>
      <c r="BA293" s="181"/>
      <c r="BB293" s="181"/>
      <c r="BN293" s="181"/>
      <c r="BO293" s="181"/>
      <c r="BP293" s="181"/>
      <c r="BQ293" s="181"/>
      <c r="BR293" s="181"/>
      <c r="BS293" s="181"/>
      <c r="BT293" s="181"/>
      <c r="CM293" s="181"/>
      <c r="CN293" s="181"/>
      <c r="CO293" s="181"/>
      <c r="CP293" s="181"/>
      <c r="CQ293" s="181"/>
    </row>
    <row r="294" spans="1:95" s="173" customFormat="1">
      <c r="A294" s="181"/>
      <c r="B294" s="181"/>
      <c r="C294" s="181"/>
      <c r="D294" s="181"/>
      <c r="E294" s="181"/>
      <c r="F294" s="181"/>
      <c r="G294" s="181"/>
      <c r="H294" s="181"/>
      <c r="I294" s="181"/>
      <c r="J294" s="181"/>
      <c r="K294" s="181"/>
      <c r="L294" s="181"/>
      <c r="M294" s="181"/>
      <c r="N294" s="181"/>
      <c r="O294" s="181"/>
      <c r="P294" s="181"/>
      <c r="Q294" s="181"/>
      <c r="R294" s="181"/>
      <c r="S294" s="181"/>
      <c r="T294" s="181"/>
      <c r="U294" s="181"/>
      <c r="V294" s="181"/>
      <c r="W294" s="181"/>
      <c r="X294" s="181"/>
      <c r="Y294" s="181"/>
      <c r="Z294" s="181"/>
      <c r="AA294" s="181"/>
      <c r="AB294" s="181"/>
      <c r="AC294" s="181"/>
      <c r="AD294" s="181"/>
      <c r="AE294" s="181"/>
      <c r="AF294" s="181"/>
      <c r="AG294" s="181"/>
      <c r="AH294" s="181"/>
      <c r="AI294" s="181"/>
      <c r="AJ294" s="181"/>
      <c r="AK294" s="181"/>
      <c r="AL294" s="181"/>
      <c r="AM294" s="181"/>
      <c r="AN294" s="181"/>
      <c r="AO294" s="181"/>
      <c r="AP294" s="181"/>
      <c r="AQ294" s="181"/>
      <c r="AR294" s="181"/>
      <c r="AS294" s="181"/>
      <c r="AT294" s="181"/>
      <c r="AU294" s="181"/>
      <c r="AV294" s="181"/>
      <c r="AW294" s="181"/>
      <c r="AX294" s="181"/>
      <c r="AY294" s="181"/>
      <c r="AZ294" s="181"/>
      <c r="BA294" s="181"/>
      <c r="BB294" s="181"/>
      <c r="BN294" s="181"/>
      <c r="BO294" s="181"/>
      <c r="BP294" s="181"/>
      <c r="BQ294" s="181"/>
      <c r="BR294" s="181"/>
      <c r="BS294" s="181"/>
      <c r="BT294" s="181"/>
      <c r="CM294" s="181"/>
      <c r="CN294" s="181"/>
      <c r="CO294" s="181"/>
      <c r="CP294" s="181"/>
      <c r="CQ294" s="181"/>
    </row>
    <row r="295" spans="1:95" s="173" customFormat="1">
      <c r="A295" s="181"/>
      <c r="B295" s="181"/>
      <c r="C295" s="181"/>
      <c r="D295" s="181"/>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181"/>
      <c r="AC295" s="181"/>
      <c r="AD295" s="181"/>
      <c r="AE295" s="181"/>
      <c r="AF295" s="181"/>
      <c r="AG295" s="181"/>
      <c r="AH295" s="181"/>
      <c r="AI295" s="181"/>
      <c r="AJ295" s="181"/>
      <c r="AK295" s="181"/>
      <c r="AL295" s="181"/>
      <c r="AM295" s="181"/>
      <c r="AN295" s="181"/>
      <c r="AO295" s="181"/>
      <c r="AP295" s="181"/>
      <c r="AQ295" s="181"/>
      <c r="AR295" s="181"/>
      <c r="AS295" s="181"/>
      <c r="AT295" s="181"/>
      <c r="AU295" s="181"/>
      <c r="AV295" s="181"/>
      <c r="AW295" s="181"/>
      <c r="AX295" s="181"/>
      <c r="AY295" s="181"/>
      <c r="AZ295" s="181"/>
      <c r="BA295" s="181"/>
      <c r="BB295" s="181"/>
      <c r="BN295" s="181"/>
      <c r="BO295" s="181"/>
      <c r="BP295" s="181"/>
      <c r="BQ295" s="181"/>
      <c r="BR295" s="181"/>
      <c r="BS295" s="181"/>
      <c r="BT295" s="181"/>
      <c r="CM295" s="181"/>
      <c r="CN295" s="181"/>
      <c r="CO295" s="181"/>
      <c r="CP295" s="181"/>
      <c r="CQ295" s="181"/>
    </row>
    <row r="296" spans="1:95" s="173" customFormat="1">
      <c r="A296" s="181"/>
      <c r="B296" s="181"/>
      <c r="C296" s="181"/>
      <c r="D296" s="181"/>
      <c r="E296" s="181"/>
      <c r="F296" s="181"/>
      <c r="G296" s="181"/>
      <c r="H296" s="181"/>
      <c r="I296" s="181"/>
      <c r="J296" s="181"/>
      <c r="K296" s="181"/>
      <c r="L296" s="181"/>
      <c r="M296" s="181"/>
      <c r="N296" s="181"/>
      <c r="O296" s="181"/>
      <c r="P296" s="181"/>
      <c r="Q296" s="181"/>
      <c r="R296" s="181"/>
      <c r="S296" s="181"/>
      <c r="T296" s="181"/>
      <c r="U296" s="181"/>
      <c r="V296" s="181"/>
      <c r="W296" s="181"/>
      <c r="X296" s="181"/>
      <c r="Y296" s="181"/>
      <c r="Z296" s="181"/>
      <c r="AA296" s="181"/>
      <c r="AB296" s="181"/>
      <c r="AC296" s="181"/>
      <c r="AD296" s="181"/>
      <c r="AE296" s="181"/>
      <c r="AF296" s="181"/>
      <c r="AG296" s="181"/>
      <c r="AH296" s="181"/>
      <c r="AI296" s="181"/>
      <c r="AJ296" s="181"/>
      <c r="AK296" s="181"/>
      <c r="AL296" s="181"/>
      <c r="AM296" s="181"/>
      <c r="AN296" s="181"/>
      <c r="AO296" s="181"/>
      <c r="AP296" s="181"/>
      <c r="AQ296" s="181"/>
      <c r="AR296" s="181"/>
      <c r="AS296" s="181"/>
      <c r="AT296" s="181"/>
      <c r="AU296" s="181"/>
      <c r="AV296" s="181"/>
      <c r="AW296" s="181"/>
      <c r="AX296" s="181"/>
      <c r="AY296" s="181"/>
      <c r="AZ296" s="181"/>
      <c r="BA296" s="181"/>
      <c r="BB296" s="181"/>
      <c r="BN296" s="181"/>
      <c r="BO296" s="181"/>
      <c r="BP296" s="181"/>
      <c r="BQ296" s="181"/>
      <c r="BR296" s="181"/>
      <c r="BS296" s="181"/>
      <c r="BT296" s="181"/>
      <c r="CM296" s="181"/>
      <c r="CN296" s="181"/>
      <c r="CO296" s="181"/>
      <c r="CP296" s="181"/>
      <c r="CQ296" s="181"/>
    </row>
    <row r="297" spans="1:95" s="173" customFormat="1">
      <c r="A297" s="181"/>
      <c r="B297" s="181"/>
      <c r="C297" s="181"/>
      <c r="D297" s="181"/>
      <c r="E297" s="181"/>
      <c r="F297" s="181"/>
      <c r="G297" s="181"/>
      <c r="H297" s="181"/>
      <c r="I297" s="181"/>
      <c r="J297" s="181"/>
      <c r="K297" s="181"/>
      <c r="L297" s="181"/>
      <c r="M297" s="181"/>
      <c r="N297" s="181"/>
      <c r="O297" s="181"/>
      <c r="P297" s="181"/>
      <c r="Q297" s="181"/>
      <c r="R297" s="181"/>
      <c r="S297" s="181"/>
      <c r="T297" s="181"/>
      <c r="U297" s="181"/>
      <c r="V297" s="181"/>
      <c r="W297" s="181"/>
      <c r="X297" s="181"/>
      <c r="Y297" s="181"/>
      <c r="Z297" s="181"/>
      <c r="AA297" s="181"/>
      <c r="AB297" s="181"/>
      <c r="AC297" s="181"/>
      <c r="AD297" s="181"/>
      <c r="AE297" s="181"/>
      <c r="AF297" s="181"/>
      <c r="AG297" s="181"/>
      <c r="AH297" s="181"/>
      <c r="AI297" s="181"/>
      <c r="AJ297" s="181"/>
      <c r="AK297" s="181"/>
      <c r="AL297" s="181"/>
      <c r="AM297" s="181"/>
      <c r="AN297" s="181"/>
      <c r="AO297" s="181"/>
      <c r="AP297" s="181"/>
      <c r="AQ297" s="181"/>
      <c r="AR297" s="181"/>
      <c r="AS297" s="181"/>
      <c r="AT297" s="181"/>
      <c r="AU297" s="181"/>
      <c r="AV297" s="181"/>
      <c r="AW297" s="181"/>
      <c r="AX297" s="181"/>
      <c r="AY297" s="181"/>
      <c r="AZ297" s="181"/>
      <c r="BA297" s="181"/>
      <c r="BB297" s="181"/>
      <c r="BN297" s="181"/>
      <c r="BO297" s="181"/>
      <c r="BP297" s="181"/>
      <c r="BQ297" s="181"/>
      <c r="BR297" s="181"/>
      <c r="BS297" s="181"/>
      <c r="BT297" s="181"/>
      <c r="CM297" s="181"/>
      <c r="CN297" s="181"/>
      <c r="CO297" s="181"/>
      <c r="CP297" s="181"/>
      <c r="CQ297" s="181"/>
    </row>
    <row r="298" spans="1:95" s="173" customFormat="1">
      <c r="A298" s="181"/>
      <c r="B298" s="181"/>
      <c r="C298" s="181"/>
      <c r="D298" s="181"/>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181"/>
      <c r="AC298" s="181"/>
      <c r="AD298" s="181"/>
      <c r="AE298" s="181"/>
      <c r="AF298" s="181"/>
      <c r="AG298" s="181"/>
      <c r="AH298" s="181"/>
      <c r="AI298" s="181"/>
      <c r="AJ298" s="181"/>
      <c r="AK298" s="181"/>
      <c r="AL298" s="181"/>
      <c r="AM298" s="181"/>
      <c r="AN298" s="181"/>
      <c r="AO298" s="181"/>
      <c r="AP298" s="181"/>
      <c r="AQ298" s="181"/>
      <c r="AR298" s="181"/>
      <c r="AS298" s="181"/>
      <c r="AT298" s="181"/>
      <c r="AU298" s="181"/>
      <c r="AV298" s="181"/>
      <c r="AW298" s="181"/>
      <c r="AX298" s="181"/>
      <c r="AY298" s="181"/>
      <c r="AZ298" s="181"/>
      <c r="BA298" s="181"/>
      <c r="BB298" s="181"/>
      <c r="BN298" s="181"/>
      <c r="BO298" s="181"/>
      <c r="BP298" s="181"/>
      <c r="BQ298" s="181"/>
      <c r="BR298" s="181"/>
      <c r="BS298" s="181"/>
      <c r="BT298" s="181"/>
      <c r="CM298" s="181"/>
      <c r="CN298" s="181"/>
      <c r="CO298" s="181"/>
      <c r="CP298" s="181"/>
      <c r="CQ298" s="181"/>
    </row>
    <row r="299" spans="1:95" s="173" customFormat="1">
      <c r="A299" s="181"/>
      <c r="B299" s="181"/>
      <c r="C299" s="181"/>
      <c r="D299" s="181"/>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181"/>
      <c r="AC299" s="181"/>
      <c r="AD299" s="181"/>
      <c r="AE299" s="181"/>
      <c r="AF299" s="181"/>
      <c r="AG299" s="181"/>
      <c r="AH299" s="181"/>
      <c r="AI299" s="181"/>
      <c r="AJ299" s="181"/>
      <c r="AK299" s="181"/>
      <c r="AL299" s="181"/>
      <c r="AM299" s="181"/>
      <c r="AN299" s="181"/>
      <c r="AO299" s="181"/>
      <c r="AP299" s="181"/>
      <c r="AQ299" s="181"/>
      <c r="AR299" s="181"/>
      <c r="AS299" s="181"/>
      <c r="AT299" s="181"/>
      <c r="AU299" s="181"/>
      <c r="AV299" s="181"/>
      <c r="AW299" s="181"/>
      <c r="AX299" s="181"/>
      <c r="AY299" s="181"/>
      <c r="AZ299" s="181"/>
      <c r="BA299" s="181"/>
      <c r="BB299" s="181"/>
      <c r="BN299" s="181"/>
      <c r="BO299" s="181"/>
      <c r="BP299" s="181"/>
      <c r="BQ299" s="181"/>
      <c r="BR299" s="181"/>
      <c r="BS299" s="181"/>
      <c r="BT299" s="181"/>
      <c r="CM299" s="181"/>
      <c r="CN299" s="181"/>
      <c r="CO299" s="181"/>
      <c r="CP299" s="181"/>
      <c r="CQ299" s="181"/>
    </row>
    <row r="300" spans="1:95" s="173" customFormat="1">
      <c r="A300" s="181"/>
      <c r="B300" s="181"/>
      <c r="C300" s="181"/>
      <c r="D300" s="181"/>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181"/>
      <c r="AC300" s="181"/>
      <c r="AD300" s="181"/>
      <c r="AE300" s="181"/>
      <c r="AF300" s="181"/>
      <c r="AG300" s="181"/>
      <c r="AH300" s="181"/>
      <c r="AI300" s="181"/>
      <c r="AJ300" s="181"/>
      <c r="AK300" s="181"/>
      <c r="AL300" s="181"/>
      <c r="AM300" s="181"/>
      <c r="AN300" s="181"/>
      <c r="AO300" s="181"/>
      <c r="AP300" s="181"/>
      <c r="AQ300" s="181"/>
      <c r="AR300" s="181"/>
      <c r="AS300" s="181"/>
      <c r="AT300" s="181"/>
      <c r="AU300" s="181"/>
      <c r="AV300" s="181"/>
      <c r="AW300" s="181"/>
      <c r="AX300" s="181"/>
      <c r="AY300" s="181"/>
      <c r="AZ300" s="181"/>
      <c r="BA300" s="181"/>
      <c r="BB300" s="181"/>
      <c r="BN300" s="181"/>
      <c r="BO300" s="181"/>
      <c r="BP300" s="181"/>
      <c r="BQ300" s="181"/>
      <c r="BR300" s="181"/>
      <c r="BS300" s="181"/>
      <c r="BT300" s="181"/>
      <c r="CM300" s="181"/>
      <c r="CN300" s="181"/>
      <c r="CO300" s="181"/>
      <c r="CP300" s="181"/>
      <c r="CQ300" s="181"/>
    </row>
    <row r="301" spans="1:95" s="173" customFormat="1">
      <c r="A301" s="181"/>
      <c r="B301" s="181"/>
      <c r="C301" s="181"/>
      <c r="D301" s="181"/>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181"/>
      <c r="AC301" s="181"/>
      <c r="AD301" s="181"/>
      <c r="AE301" s="181"/>
      <c r="AF301" s="181"/>
      <c r="AG301" s="181"/>
      <c r="AH301" s="181"/>
      <c r="AI301" s="181"/>
      <c r="AJ301" s="181"/>
      <c r="AK301" s="181"/>
      <c r="AL301" s="181"/>
      <c r="AM301" s="181"/>
      <c r="AN301" s="181"/>
      <c r="AO301" s="181"/>
      <c r="AP301" s="181"/>
      <c r="AQ301" s="181"/>
      <c r="AR301" s="181"/>
      <c r="AS301" s="181"/>
      <c r="AT301" s="181"/>
      <c r="AU301" s="181"/>
      <c r="AV301" s="181"/>
      <c r="AW301" s="181"/>
      <c r="AX301" s="181"/>
      <c r="AY301" s="181"/>
      <c r="AZ301" s="181"/>
      <c r="BA301" s="181"/>
      <c r="BB301" s="181"/>
      <c r="BN301" s="181"/>
      <c r="BO301" s="181"/>
      <c r="BP301" s="181"/>
      <c r="BQ301" s="181"/>
      <c r="BR301" s="181"/>
      <c r="BS301" s="181"/>
      <c r="BT301" s="181"/>
      <c r="CM301" s="181"/>
      <c r="CN301" s="181"/>
      <c r="CO301" s="181"/>
      <c r="CP301" s="181"/>
      <c r="CQ301" s="181"/>
    </row>
    <row r="302" spans="1:95" s="173" customFormat="1">
      <c r="A302" s="181"/>
      <c r="B302" s="181"/>
      <c r="C302" s="181"/>
      <c r="D302" s="181"/>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181"/>
      <c r="AC302" s="181"/>
      <c r="AD302" s="181"/>
      <c r="AE302" s="181"/>
      <c r="AF302" s="181"/>
      <c r="AG302" s="181"/>
      <c r="AH302" s="181"/>
      <c r="AI302" s="181"/>
      <c r="AJ302" s="181"/>
      <c r="AK302" s="181"/>
      <c r="AL302" s="181"/>
      <c r="AM302" s="181"/>
      <c r="AN302" s="181"/>
      <c r="AO302" s="181"/>
      <c r="AP302" s="181"/>
      <c r="AQ302" s="181"/>
      <c r="AR302" s="181"/>
      <c r="AS302" s="181"/>
      <c r="AT302" s="181"/>
      <c r="AU302" s="181"/>
      <c r="AV302" s="181"/>
      <c r="AW302" s="181"/>
      <c r="AX302" s="181"/>
      <c r="AY302" s="181"/>
      <c r="AZ302" s="181"/>
      <c r="BA302" s="181"/>
      <c r="BB302" s="181"/>
      <c r="BN302" s="181"/>
      <c r="BO302" s="181"/>
      <c r="BP302" s="181"/>
      <c r="BQ302" s="181"/>
      <c r="BR302" s="181"/>
      <c r="BS302" s="181"/>
      <c r="BT302" s="181"/>
      <c r="CM302" s="181"/>
      <c r="CN302" s="181"/>
      <c r="CO302" s="181"/>
      <c r="CP302" s="181"/>
      <c r="CQ302" s="181"/>
    </row>
    <row r="303" spans="1:95" s="173" customFormat="1">
      <c r="A303" s="181"/>
      <c r="B303" s="181"/>
      <c r="C303" s="181"/>
      <c r="D303" s="181"/>
      <c r="E303" s="181"/>
      <c r="F303" s="181"/>
      <c r="G303" s="181"/>
      <c r="H303" s="181"/>
      <c r="I303" s="181"/>
      <c r="J303" s="181"/>
      <c r="K303" s="181"/>
      <c r="L303" s="181"/>
      <c r="M303" s="181"/>
      <c r="N303" s="181"/>
      <c r="O303" s="181"/>
      <c r="P303" s="181"/>
      <c r="Q303" s="181"/>
      <c r="R303" s="181"/>
      <c r="S303" s="181"/>
      <c r="T303" s="181"/>
      <c r="U303" s="181"/>
      <c r="V303" s="181"/>
      <c r="W303" s="181"/>
      <c r="X303" s="181"/>
      <c r="Y303" s="181"/>
      <c r="Z303" s="181"/>
      <c r="AA303" s="181"/>
      <c r="AB303" s="181"/>
      <c r="AC303" s="181"/>
      <c r="AD303" s="181"/>
      <c r="AE303" s="181"/>
      <c r="AF303" s="181"/>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181"/>
      <c r="BB303" s="181"/>
      <c r="BN303" s="181"/>
      <c r="BO303" s="181"/>
      <c r="BP303" s="181"/>
      <c r="BQ303" s="181"/>
      <c r="BR303" s="181"/>
      <c r="BS303" s="181"/>
      <c r="BT303" s="181"/>
      <c r="CM303" s="181"/>
      <c r="CN303" s="181"/>
      <c r="CO303" s="181"/>
      <c r="CP303" s="181"/>
      <c r="CQ303" s="181"/>
    </row>
    <row r="304" spans="1:95" s="173" customFormat="1">
      <c r="A304" s="181"/>
      <c r="B304" s="181"/>
      <c r="C304" s="181"/>
      <c r="D304" s="181"/>
      <c r="E304" s="181"/>
      <c r="F304" s="181"/>
      <c r="G304" s="181"/>
      <c r="H304" s="181"/>
      <c r="I304" s="181"/>
      <c r="J304" s="181"/>
      <c r="K304" s="181"/>
      <c r="L304" s="181"/>
      <c r="M304" s="181"/>
      <c r="N304" s="181"/>
      <c r="O304" s="181"/>
      <c r="P304" s="181"/>
      <c r="Q304" s="181"/>
      <c r="R304" s="181"/>
      <c r="S304" s="181"/>
      <c r="T304" s="181"/>
      <c r="U304" s="181"/>
      <c r="V304" s="181"/>
      <c r="W304" s="181"/>
      <c r="X304" s="181"/>
      <c r="Y304" s="181"/>
      <c r="Z304" s="181"/>
      <c r="AA304" s="181"/>
      <c r="AB304" s="181"/>
      <c r="AC304" s="181"/>
      <c r="AD304" s="181"/>
      <c r="AE304" s="181"/>
      <c r="AF304" s="181"/>
      <c r="AG304" s="181"/>
      <c r="AH304" s="181"/>
      <c r="AI304" s="181"/>
      <c r="AJ304" s="181"/>
      <c r="AK304" s="181"/>
      <c r="AL304" s="181"/>
      <c r="AM304" s="181"/>
      <c r="AN304" s="181"/>
      <c r="AO304" s="181"/>
      <c r="AP304" s="181"/>
      <c r="AQ304" s="181"/>
      <c r="AR304" s="181"/>
      <c r="AS304" s="181"/>
      <c r="AT304" s="181"/>
      <c r="AU304" s="181"/>
      <c r="AV304" s="181"/>
      <c r="AW304" s="181"/>
      <c r="AX304" s="181"/>
      <c r="AY304" s="181"/>
      <c r="AZ304" s="181"/>
      <c r="BA304" s="181"/>
      <c r="BB304" s="181"/>
      <c r="BN304" s="181"/>
      <c r="BO304" s="181"/>
      <c r="BP304" s="181"/>
      <c r="BQ304" s="181"/>
      <c r="BR304" s="181"/>
      <c r="BS304" s="181"/>
      <c r="BT304" s="181"/>
      <c r="CM304" s="181"/>
      <c r="CN304" s="181"/>
      <c r="CO304" s="181"/>
      <c r="CP304" s="181"/>
      <c r="CQ304" s="181"/>
    </row>
    <row r="305" spans="1:95" s="173" customFormat="1">
      <c r="A305" s="181"/>
      <c r="B305" s="181"/>
      <c r="C305" s="181"/>
      <c r="D305" s="181"/>
      <c r="E305" s="181"/>
      <c r="F305" s="181"/>
      <c r="G305" s="181"/>
      <c r="H305" s="181"/>
      <c r="I305" s="181"/>
      <c r="J305" s="181"/>
      <c r="K305" s="181"/>
      <c r="L305" s="181"/>
      <c r="M305" s="181"/>
      <c r="N305" s="181"/>
      <c r="O305" s="181"/>
      <c r="P305" s="181"/>
      <c r="Q305" s="181"/>
      <c r="R305" s="181"/>
      <c r="S305" s="181"/>
      <c r="T305" s="181"/>
      <c r="U305" s="181"/>
      <c r="V305" s="181"/>
      <c r="W305" s="181"/>
      <c r="X305" s="181"/>
      <c r="Y305" s="181"/>
      <c r="Z305" s="181"/>
      <c r="AA305" s="181"/>
      <c r="AB305" s="181"/>
      <c r="AC305" s="181"/>
      <c r="AD305" s="181"/>
      <c r="AE305" s="181"/>
      <c r="AF305" s="181"/>
      <c r="AG305" s="181"/>
      <c r="AH305" s="181"/>
      <c r="AI305" s="181"/>
      <c r="AJ305" s="181"/>
      <c r="AK305" s="181"/>
      <c r="AL305" s="181"/>
      <c r="AM305" s="181"/>
      <c r="AN305" s="181"/>
      <c r="AO305" s="181"/>
      <c r="AP305" s="181"/>
      <c r="AQ305" s="181"/>
      <c r="AR305" s="181"/>
      <c r="AS305" s="181"/>
      <c r="AT305" s="181"/>
      <c r="AU305" s="181"/>
      <c r="AV305" s="181"/>
      <c r="AW305" s="181"/>
      <c r="AX305" s="181"/>
      <c r="AY305" s="181"/>
      <c r="AZ305" s="181"/>
      <c r="BA305" s="181"/>
      <c r="BB305" s="181"/>
      <c r="BN305" s="181"/>
      <c r="BO305" s="181"/>
      <c r="BP305" s="181"/>
      <c r="BQ305" s="181"/>
      <c r="BR305" s="181"/>
      <c r="BS305" s="181"/>
      <c r="BT305" s="181"/>
      <c r="CM305" s="181"/>
      <c r="CN305" s="181"/>
      <c r="CO305" s="181"/>
      <c r="CP305" s="181"/>
      <c r="CQ305" s="181"/>
    </row>
    <row r="306" spans="1:95" s="173" customFormat="1">
      <c r="A306" s="181"/>
      <c r="B306" s="181"/>
      <c r="C306" s="181"/>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c r="AG306" s="181"/>
      <c r="AH306" s="181"/>
      <c r="AI306" s="181"/>
      <c r="AJ306" s="181"/>
      <c r="AK306" s="181"/>
      <c r="AL306" s="181"/>
      <c r="AM306" s="181"/>
      <c r="AN306" s="181"/>
      <c r="AO306" s="181"/>
      <c r="AP306" s="181"/>
      <c r="AQ306" s="181"/>
      <c r="AR306" s="181"/>
      <c r="AS306" s="181"/>
      <c r="AT306" s="181"/>
      <c r="AU306" s="181"/>
      <c r="AV306" s="181"/>
      <c r="AW306" s="181"/>
      <c r="AX306" s="181"/>
      <c r="AY306" s="181"/>
      <c r="AZ306" s="181"/>
      <c r="BA306" s="181"/>
      <c r="BB306" s="181"/>
      <c r="BN306" s="181"/>
      <c r="BO306" s="181"/>
      <c r="BP306" s="181"/>
      <c r="BQ306" s="181"/>
      <c r="BR306" s="181"/>
      <c r="BS306" s="181"/>
      <c r="BT306" s="181"/>
      <c r="CM306" s="181"/>
      <c r="CN306" s="181"/>
      <c r="CO306" s="181"/>
      <c r="CP306" s="181"/>
      <c r="CQ306" s="181"/>
    </row>
    <row r="307" spans="1:95" s="173" customFormat="1">
      <c r="A307" s="181"/>
      <c r="B307" s="181"/>
      <c r="C307" s="181"/>
      <c r="D307" s="181"/>
      <c r="E307" s="181"/>
      <c r="F307" s="181"/>
      <c r="G307" s="181"/>
      <c r="H307" s="181"/>
      <c r="I307" s="181"/>
      <c r="J307" s="181"/>
      <c r="K307" s="181"/>
      <c r="L307" s="181"/>
      <c r="M307" s="181"/>
      <c r="N307" s="181"/>
      <c r="O307" s="181"/>
      <c r="P307" s="181"/>
      <c r="Q307" s="181"/>
      <c r="R307" s="181"/>
      <c r="S307" s="181"/>
      <c r="T307" s="181"/>
      <c r="U307" s="181"/>
      <c r="V307" s="181"/>
      <c r="W307" s="181"/>
      <c r="X307" s="181"/>
      <c r="Y307" s="181"/>
      <c r="Z307" s="181"/>
      <c r="AA307" s="181"/>
      <c r="AB307" s="181"/>
      <c r="AC307" s="181"/>
      <c r="AD307" s="181"/>
      <c r="AE307" s="181"/>
      <c r="AF307" s="181"/>
      <c r="AG307" s="181"/>
      <c r="AH307" s="181"/>
      <c r="AI307" s="181"/>
      <c r="AJ307" s="181"/>
      <c r="AK307" s="181"/>
      <c r="AL307" s="181"/>
      <c r="AM307" s="181"/>
      <c r="AN307" s="181"/>
      <c r="AO307" s="181"/>
      <c r="AP307" s="181"/>
      <c r="AQ307" s="181"/>
      <c r="AR307" s="181"/>
      <c r="AS307" s="181"/>
      <c r="AT307" s="181"/>
      <c r="AU307" s="181"/>
      <c r="AV307" s="181"/>
      <c r="AW307" s="181"/>
      <c r="AX307" s="181"/>
      <c r="AY307" s="181"/>
      <c r="AZ307" s="181"/>
      <c r="BA307" s="181"/>
      <c r="BB307" s="181"/>
      <c r="BN307" s="181"/>
      <c r="BO307" s="181"/>
      <c r="BP307" s="181"/>
      <c r="BQ307" s="181"/>
      <c r="BR307" s="181"/>
      <c r="BS307" s="181"/>
      <c r="BT307" s="181"/>
      <c r="CM307" s="181"/>
      <c r="CN307" s="181"/>
      <c r="CO307" s="181"/>
      <c r="CP307" s="181"/>
      <c r="CQ307" s="181"/>
    </row>
    <row r="308" spans="1:95" s="173" customFormat="1">
      <c r="A308" s="181"/>
      <c r="B308" s="181"/>
      <c r="C308" s="181"/>
      <c r="D308" s="181"/>
      <c r="E308" s="181"/>
      <c r="F308" s="181"/>
      <c r="G308" s="181"/>
      <c r="H308" s="181"/>
      <c r="I308" s="181"/>
      <c r="J308" s="181"/>
      <c r="K308" s="181"/>
      <c r="L308" s="181"/>
      <c r="M308" s="181"/>
      <c r="N308" s="181"/>
      <c r="O308" s="181"/>
      <c r="P308" s="181"/>
      <c r="Q308" s="181"/>
      <c r="R308" s="181"/>
      <c r="S308" s="181"/>
      <c r="T308" s="181"/>
      <c r="U308" s="181"/>
      <c r="V308" s="181"/>
      <c r="W308" s="181"/>
      <c r="X308" s="181"/>
      <c r="Y308" s="181"/>
      <c r="Z308" s="181"/>
      <c r="AA308" s="181"/>
      <c r="AB308" s="181"/>
      <c r="AC308" s="181"/>
      <c r="AD308" s="181"/>
      <c r="AE308" s="181"/>
      <c r="AF308" s="181"/>
      <c r="AG308" s="181"/>
      <c r="AH308" s="181"/>
      <c r="AI308" s="181"/>
      <c r="AJ308" s="181"/>
      <c r="AK308" s="181"/>
      <c r="AL308" s="181"/>
      <c r="AM308" s="181"/>
      <c r="AN308" s="181"/>
      <c r="AO308" s="181"/>
      <c r="AP308" s="181"/>
      <c r="AQ308" s="181"/>
      <c r="AR308" s="181"/>
      <c r="AS308" s="181"/>
      <c r="AT308" s="181"/>
      <c r="AU308" s="181"/>
      <c r="AV308" s="181"/>
      <c r="AW308" s="181"/>
      <c r="AX308" s="181"/>
      <c r="AY308" s="181"/>
      <c r="AZ308" s="181"/>
      <c r="BA308" s="181"/>
      <c r="BB308" s="181"/>
      <c r="BN308" s="181"/>
      <c r="BO308" s="181"/>
      <c r="BP308" s="181"/>
      <c r="BQ308" s="181"/>
      <c r="BR308" s="181"/>
      <c r="BS308" s="181"/>
      <c r="BT308" s="181"/>
      <c r="CM308" s="181"/>
      <c r="CN308" s="181"/>
      <c r="CO308" s="181"/>
      <c r="CP308" s="181"/>
      <c r="CQ308" s="181"/>
    </row>
    <row r="309" spans="1:95" s="173" customFormat="1">
      <c r="A309" s="181"/>
      <c r="B309" s="181"/>
      <c r="C309" s="181"/>
      <c r="D309" s="181"/>
      <c r="E309" s="181"/>
      <c r="F309" s="181"/>
      <c r="G309" s="181"/>
      <c r="H309" s="181"/>
      <c r="I309" s="181"/>
      <c r="J309" s="181"/>
      <c r="K309" s="181"/>
      <c r="L309" s="181"/>
      <c r="M309" s="181"/>
      <c r="N309" s="181"/>
      <c r="O309" s="181"/>
      <c r="P309" s="181"/>
      <c r="Q309" s="181"/>
      <c r="R309" s="181"/>
      <c r="S309" s="181"/>
      <c r="T309" s="181"/>
      <c r="U309" s="181"/>
      <c r="V309" s="181"/>
      <c r="W309" s="181"/>
      <c r="X309" s="181"/>
      <c r="Y309" s="181"/>
      <c r="Z309" s="181"/>
      <c r="AA309" s="181"/>
      <c r="AB309" s="181"/>
      <c r="AC309" s="181"/>
      <c r="AD309" s="181"/>
      <c r="AE309" s="181"/>
      <c r="AF309" s="181"/>
      <c r="AG309" s="181"/>
      <c r="AH309" s="181"/>
      <c r="AI309" s="181"/>
      <c r="AJ309" s="181"/>
      <c r="AK309" s="181"/>
      <c r="AL309" s="181"/>
      <c r="AM309" s="181"/>
      <c r="AN309" s="181"/>
      <c r="AO309" s="181"/>
      <c r="AP309" s="181"/>
      <c r="AQ309" s="181"/>
      <c r="AR309" s="181"/>
      <c r="AS309" s="181"/>
      <c r="AT309" s="181"/>
      <c r="AU309" s="181"/>
      <c r="AV309" s="181"/>
      <c r="AW309" s="181"/>
      <c r="AX309" s="181"/>
      <c r="AY309" s="181"/>
      <c r="AZ309" s="181"/>
      <c r="BA309" s="181"/>
      <c r="BB309" s="181"/>
      <c r="BN309" s="181"/>
      <c r="BO309" s="181"/>
      <c r="BP309" s="181"/>
      <c r="BQ309" s="181"/>
      <c r="BR309" s="181"/>
      <c r="BS309" s="181"/>
      <c r="BT309" s="181"/>
      <c r="CM309" s="181"/>
      <c r="CN309" s="181"/>
      <c r="CO309" s="181"/>
      <c r="CP309" s="181"/>
      <c r="CQ309" s="181"/>
    </row>
    <row r="310" spans="1:95" s="173" customFormat="1">
      <c r="A310" s="181"/>
      <c r="B310" s="181"/>
      <c r="C310" s="181"/>
      <c r="D310" s="181"/>
      <c r="E310" s="181"/>
      <c r="F310" s="181"/>
      <c r="G310" s="181"/>
      <c r="H310" s="181"/>
      <c r="I310" s="181"/>
      <c r="J310" s="181"/>
      <c r="K310" s="181"/>
      <c r="L310" s="181"/>
      <c r="M310" s="181"/>
      <c r="N310" s="181"/>
      <c r="O310" s="181"/>
      <c r="P310" s="181"/>
      <c r="Q310" s="181"/>
      <c r="R310" s="181"/>
      <c r="S310" s="181"/>
      <c r="T310" s="181"/>
      <c r="U310" s="181"/>
      <c r="V310" s="181"/>
      <c r="W310" s="181"/>
      <c r="X310" s="181"/>
      <c r="Y310" s="181"/>
      <c r="Z310" s="181"/>
      <c r="AA310" s="181"/>
      <c r="AB310" s="181"/>
      <c r="AC310" s="181"/>
      <c r="AD310" s="181"/>
      <c r="AE310" s="181"/>
      <c r="AF310" s="181"/>
      <c r="AG310" s="181"/>
      <c r="AH310" s="181"/>
      <c r="AI310" s="181"/>
      <c r="AJ310" s="181"/>
      <c r="AK310" s="181"/>
      <c r="AL310" s="181"/>
      <c r="AM310" s="181"/>
      <c r="AN310" s="181"/>
      <c r="AO310" s="181"/>
      <c r="AP310" s="181"/>
      <c r="AQ310" s="181"/>
      <c r="AR310" s="181"/>
      <c r="AS310" s="181"/>
      <c r="AT310" s="181"/>
      <c r="AU310" s="181"/>
      <c r="AV310" s="181"/>
      <c r="AW310" s="181"/>
      <c r="AX310" s="181"/>
      <c r="AY310" s="181"/>
      <c r="AZ310" s="181"/>
      <c r="BA310" s="181"/>
      <c r="BB310" s="181"/>
      <c r="BN310" s="181"/>
      <c r="BO310" s="181"/>
      <c r="BP310" s="181"/>
      <c r="BQ310" s="181"/>
      <c r="BR310" s="181"/>
      <c r="BS310" s="181"/>
      <c r="BT310" s="181"/>
      <c r="CM310" s="181"/>
      <c r="CN310" s="181"/>
      <c r="CO310" s="181"/>
      <c r="CP310" s="181"/>
      <c r="CQ310" s="181"/>
    </row>
    <row r="311" spans="1:95" s="173" customFormat="1">
      <c r="A311" s="181"/>
      <c r="B311" s="181"/>
      <c r="C311" s="181"/>
      <c r="D311" s="181"/>
      <c r="E311" s="181"/>
      <c r="F311" s="181"/>
      <c r="G311" s="181"/>
      <c r="H311" s="181"/>
      <c r="I311" s="181"/>
      <c r="J311" s="181"/>
      <c r="K311" s="181"/>
      <c r="L311" s="181"/>
      <c r="M311" s="181"/>
      <c r="N311" s="181"/>
      <c r="O311" s="181"/>
      <c r="P311" s="181"/>
      <c r="Q311" s="181"/>
      <c r="R311" s="181"/>
      <c r="S311" s="181"/>
      <c r="T311" s="181"/>
      <c r="U311" s="181"/>
      <c r="V311" s="181"/>
      <c r="W311" s="181"/>
      <c r="X311" s="181"/>
      <c r="Y311" s="181"/>
      <c r="Z311" s="181"/>
      <c r="AA311" s="181"/>
      <c r="AB311" s="181"/>
      <c r="AC311" s="181"/>
      <c r="AD311" s="181"/>
      <c r="AE311" s="181"/>
      <c r="AF311" s="181"/>
      <c r="AG311" s="181"/>
      <c r="AH311" s="181"/>
      <c r="AI311" s="181"/>
      <c r="AJ311" s="181"/>
      <c r="AK311" s="181"/>
      <c r="AL311" s="181"/>
      <c r="AM311" s="181"/>
      <c r="AN311" s="181"/>
      <c r="AO311" s="181"/>
      <c r="AP311" s="181"/>
      <c r="AQ311" s="181"/>
      <c r="AR311" s="181"/>
      <c r="AS311" s="181"/>
      <c r="AT311" s="181"/>
      <c r="AU311" s="181"/>
      <c r="AV311" s="181"/>
      <c r="AW311" s="181"/>
      <c r="AX311" s="181"/>
      <c r="AY311" s="181"/>
      <c r="AZ311" s="181"/>
      <c r="BA311" s="181"/>
      <c r="BB311" s="181"/>
      <c r="BN311" s="181"/>
      <c r="BO311" s="181"/>
      <c r="BP311" s="181"/>
      <c r="BQ311" s="181"/>
      <c r="BR311" s="181"/>
      <c r="BS311" s="181"/>
      <c r="BT311" s="181"/>
      <c r="CM311" s="181"/>
      <c r="CN311" s="181"/>
      <c r="CO311" s="181"/>
      <c r="CP311" s="181"/>
      <c r="CQ311" s="181"/>
    </row>
    <row r="312" spans="1:95" s="173" customFormat="1">
      <c r="A312" s="181"/>
      <c r="B312" s="181"/>
      <c r="C312" s="181"/>
      <c r="D312" s="181"/>
      <c r="E312" s="181"/>
      <c r="F312" s="181"/>
      <c r="G312" s="181"/>
      <c r="H312" s="181"/>
      <c r="I312" s="181"/>
      <c r="J312" s="181"/>
      <c r="K312" s="181"/>
      <c r="L312" s="181"/>
      <c r="M312" s="181"/>
      <c r="N312" s="181"/>
      <c r="O312" s="181"/>
      <c r="P312" s="181"/>
      <c r="Q312" s="181"/>
      <c r="R312" s="181"/>
      <c r="S312" s="181"/>
      <c r="T312" s="181"/>
      <c r="U312" s="181"/>
      <c r="V312" s="181"/>
      <c r="W312" s="181"/>
      <c r="X312" s="181"/>
      <c r="Y312" s="181"/>
      <c r="Z312" s="181"/>
      <c r="AA312" s="181"/>
      <c r="AB312" s="181"/>
      <c r="AC312" s="181"/>
      <c r="AD312" s="181"/>
      <c r="AE312" s="181"/>
      <c r="AF312" s="181"/>
      <c r="AG312" s="181"/>
      <c r="AH312" s="181"/>
      <c r="AI312" s="181"/>
      <c r="AJ312" s="181"/>
      <c r="AK312" s="181"/>
      <c r="AL312" s="181"/>
      <c r="AM312" s="181"/>
      <c r="AN312" s="181"/>
      <c r="AO312" s="181"/>
      <c r="AP312" s="181"/>
      <c r="AQ312" s="181"/>
      <c r="AR312" s="181"/>
      <c r="AS312" s="181"/>
      <c r="AT312" s="181"/>
      <c r="AU312" s="181"/>
      <c r="AV312" s="181"/>
      <c r="AW312" s="181"/>
      <c r="AX312" s="181"/>
      <c r="AY312" s="181"/>
      <c r="AZ312" s="181"/>
      <c r="BA312" s="181"/>
      <c r="BB312" s="181"/>
      <c r="BN312" s="181"/>
      <c r="BO312" s="181"/>
      <c r="BP312" s="181"/>
      <c r="BQ312" s="181"/>
      <c r="BR312" s="181"/>
      <c r="BS312" s="181"/>
      <c r="BT312" s="181"/>
      <c r="CM312" s="181"/>
      <c r="CN312" s="181"/>
      <c r="CO312" s="181"/>
      <c r="CP312" s="181"/>
      <c r="CQ312" s="181"/>
    </row>
    <row r="313" spans="1:95" s="173" customFormat="1">
      <c r="A313" s="181"/>
      <c r="B313" s="181"/>
      <c r="C313" s="181"/>
      <c r="D313" s="181"/>
      <c r="E313" s="181"/>
      <c r="F313" s="181"/>
      <c r="G313" s="181"/>
      <c r="H313" s="181"/>
      <c r="I313" s="181"/>
      <c r="J313" s="181"/>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c r="AG313" s="181"/>
      <c r="AH313" s="181"/>
      <c r="AI313" s="181"/>
      <c r="AJ313" s="181"/>
      <c r="AK313" s="181"/>
      <c r="AL313" s="181"/>
      <c r="AM313" s="181"/>
      <c r="AN313" s="181"/>
      <c r="AO313" s="181"/>
      <c r="AP313" s="181"/>
      <c r="AQ313" s="181"/>
      <c r="AR313" s="181"/>
      <c r="AS313" s="181"/>
      <c r="AT313" s="181"/>
      <c r="AU313" s="181"/>
      <c r="AV313" s="181"/>
      <c r="AW313" s="181"/>
      <c r="AX313" s="181"/>
      <c r="AY313" s="181"/>
      <c r="AZ313" s="181"/>
      <c r="BA313" s="181"/>
      <c r="BB313" s="181"/>
      <c r="BN313" s="181"/>
      <c r="BO313" s="181"/>
      <c r="BP313" s="181"/>
      <c r="BQ313" s="181"/>
      <c r="BR313" s="181"/>
      <c r="BS313" s="181"/>
      <c r="BT313" s="181"/>
      <c r="CM313" s="181"/>
      <c r="CN313" s="181"/>
      <c r="CO313" s="181"/>
      <c r="CP313" s="181"/>
      <c r="CQ313" s="181"/>
    </row>
    <row r="314" spans="1:95" s="173" customFormat="1">
      <c r="A314" s="181"/>
      <c r="B314" s="181"/>
      <c r="C314" s="181"/>
      <c r="D314" s="181"/>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c r="AG314" s="181"/>
      <c r="AH314" s="181"/>
      <c r="AI314" s="181"/>
      <c r="AJ314" s="181"/>
      <c r="AK314" s="181"/>
      <c r="AL314" s="181"/>
      <c r="AM314" s="181"/>
      <c r="AN314" s="181"/>
      <c r="AO314" s="181"/>
      <c r="AP314" s="181"/>
      <c r="AQ314" s="181"/>
      <c r="AR314" s="181"/>
      <c r="AS314" s="181"/>
      <c r="AT314" s="181"/>
      <c r="AU314" s="181"/>
      <c r="AV314" s="181"/>
      <c r="AW314" s="181"/>
      <c r="AX314" s="181"/>
      <c r="AY314" s="181"/>
      <c r="AZ314" s="181"/>
      <c r="BA314" s="181"/>
      <c r="BB314" s="181"/>
      <c r="BN314" s="181"/>
      <c r="BO314" s="181"/>
      <c r="BP314" s="181"/>
      <c r="BQ314" s="181"/>
      <c r="BR314" s="181"/>
      <c r="BS314" s="181"/>
      <c r="BT314" s="181"/>
      <c r="CM314" s="181"/>
      <c r="CN314" s="181"/>
      <c r="CO314" s="181"/>
      <c r="CP314" s="181"/>
      <c r="CQ314" s="181"/>
    </row>
    <row r="315" spans="1:95" s="173" customFormat="1">
      <c r="A315" s="181"/>
      <c r="B315" s="181"/>
      <c r="C315" s="181"/>
      <c r="D315" s="181"/>
      <c r="E315" s="181"/>
      <c r="F315" s="181"/>
      <c r="G315" s="181"/>
      <c r="H315" s="181"/>
      <c r="I315" s="181"/>
      <c r="J315" s="181"/>
      <c r="K315" s="181"/>
      <c r="L315" s="181"/>
      <c r="M315" s="181"/>
      <c r="N315" s="181"/>
      <c r="O315" s="181"/>
      <c r="P315" s="181"/>
      <c r="Q315" s="181"/>
      <c r="R315" s="181"/>
      <c r="S315" s="181"/>
      <c r="T315" s="181"/>
      <c r="U315" s="181"/>
      <c r="V315" s="181"/>
      <c r="W315" s="181"/>
      <c r="X315" s="181"/>
      <c r="Y315" s="181"/>
      <c r="Z315" s="181"/>
      <c r="AA315" s="181"/>
      <c r="AB315" s="181"/>
      <c r="AC315" s="181"/>
      <c r="AD315" s="181"/>
      <c r="AE315" s="181"/>
      <c r="AF315" s="181"/>
      <c r="AG315" s="181"/>
      <c r="AH315" s="181"/>
      <c r="AI315" s="181"/>
      <c r="AJ315" s="181"/>
      <c r="AK315" s="181"/>
      <c r="AL315" s="181"/>
      <c r="AM315" s="181"/>
      <c r="AN315" s="181"/>
      <c r="AO315" s="181"/>
      <c r="AP315" s="181"/>
      <c r="AQ315" s="181"/>
      <c r="AR315" s="181"/>
      <c r="AS315" s="181"/>
      <c r="AT315" s="181"/>
      <c r="AU315" s="181"/>
      <c r="AV315" s="181"/>
      <c r="AW315" s="181"/>
      <c r="AX315" s="181"/>
      <c r="AY315" s="181"/>
      <c r="AZ315" s="181"/>
      <c r="BA315" s="181"/>
      <c r="BB315" s="181"/>
      <c r="BN315" s="181"/>
      <c r="BO315" s="181"/>
      <c r="BP315" s="181"/>
      <c r="BQ315" s="181"/>
      <c r="BR315" s="181"/>
      <c r="BS315" s="181"/>
      <c r="BT315" s="181"/>
      <c r="CM315" s="181"/>
      <c r="CN315" s="181"/>
      <c r="CO315" s="181"/>
      <c r="CP315" s="181"/>
      <c r="CQ315" s="181"/>
    </row>
    <row r="316" spans="1:95" s="173" customFormat="1">
      <c r="A316" s="181"/>
      <c r="B316" s="181"/>
      <c r="C316" s="181"/>
      <c r="D316" s="181"/>
      <c r="E316" s="181"/>
      <c r="F316" s="181"/>
      <c r="G316" s="181"/>
      <c r="H316" s="181"/>
      <c r="I316" s="181"/>
      <c r="J316" s="181"/>
      <c r="K316" s="181"/>
      <c r="L316" s="181"/>
      <c r="M316" s="181"/>
      <c r="N316" s="181"/>
      <c r="O316" s="181"/>
      <c r="P316" s="181"/>
      <c r="Q316" s="181"/>
      <c r="R316" s="181"/>
      <c r="S316" s="181"/>
      <c r="T316" s="181"/>
      <c r="U316" s="181"/>
      <c r="V316" s="181"/>
      <c r="W316" s="181"/>
      <c r="X316" s="181"/>
      <c r="Y316" s="181"/>
      <c r="Z316" s="181"/>
      <c r="AA316" s="181"/>
      <c r="AB316" s="181"/>
      <c r="AC316" s="181"/>
      <c r="AD316" s="181"/>
      <c r="AE316" s="181"/>
      <c r="AF316" s="181"/>
      <c r="AG316" s="181"/>
      <c r="AH316" s="181"/>
      <c r="AI316" s="181"/>
      <c r="AJ316" s="181"/>
      <c r="AK316" s="181"/>
      <c r="AL316" s="181"/>
      <c r="AM316" s="181"/>
      <c r="AN316" s="181"/>
      <c r="AO316" s="181"/>
      <c r="AP316" s="181"/>
      <c r="AQ316" s="181"/>
      <c r="AR316" s="181"/>
      <c r="AS316" s="181"/>
      <c r="AT316" s="181"/>
      <c r="AU316" s="181"/>
      <c r="AV316" s="181"/>
      <c r="AW316" s="181"/>
      <c r="AX316" s="181"/>
      <c r="AY316" s="181"/>
      <c r="AZ316" s="181"/>
      <c r="BA316" s="181"/>
      <c r="BB316" s="181"/>
      <c r="BN316" s="181"/>
      <c r="BO316" s="181"/>
      <c r="BP316" s="181"/>
      <c r="BQ316" s="181"/>
      <c r="BR316" s="181"/>
      <c r="BS316" s="181"/>
      <c r="BT316" s="181"/>
      <c r="CM316" s="181"/>
      <c r="CN316" s="181"/>
      <c r="CO316" s="181"/>
      <c r="CP316" s="181"/>
      <c r="CQ316" s="181"/>
    </row>
    <row r="317" spans="1:95" s="173" customFormat="1">
      <c r="A317" s="181"/>
      <c r="B317" s="181"/>
      <c r="C317" s="181"/>
      <c r="D317" s="181"/>
      <c r="E317" s="181"/>
      <c r="F317" s="181"/>
      <c r="G317" s="181"/>
      <c r="H317" s="181"/>
      <c r="I317" s="181"/>
      <c r="J317" s="181"/>
      <c r="K317" s="181"/>
      <c r="L317" s="181"/>
      <c r="M317" s="181"/>
      <c r="N317" s="181"/>
      <c r="O317" s="181"/>
      <c r="P317" s="181"/>
      <c r="Q317" s="181"/>
      <c r="R317" s="181"/>
      <c r="S317" s="181"/>
      <c r="T317" s="181"/>
      <c r="U317" s="181"/>
      <c r="V317" s="181"/>
      <c r="W317" s="181"/>
      <c r="X317" s="181"/>
      <c r="Y317" s="181"/>
      <c r="Z317" s="181"/>
      <c r="AA317" s="181"/>
      <c r="AB317" s="181"/>
      <c r="AC317" s="181"/>
      <c r="AD317" s="181"/>
      <c r="AE317" s="181"/>
      <c r="AF317" s="181"/>
      <c r="AG317" s="181"/>
      <c r="AH317" s="181"/>
      <c r="AI317" s="181"/>
      <c r="AJ317" s="181"/>
      <c r="AK317" s="181"/>
      <c r="AL317" s="181"/>
      <c r="AM317" s="181"/>
      <c r="AN317" s="181"/>
      <c r="AO317" s="181"/>
      <c r="AP317" s="181"/>
      <c r="AQ317" s="181"/>
      <c r="AR317" s="181"/>
      <c r="AS317" s="181"/>
      <c r="AT317" s="181"/>
      <c r="AU317" s="181"/>
      <c r="AV317" s="181"/>
      <c r="AW317" s="181"/>
      <c r="AX317" s="181"/>
      <c r="AY317" s="181"/>
      <c r="AZ317" s="181"/>
      <c r="BA317" s="181"/>
      <c r="BB317" s="181"/>
      <c r="BN317" s="181"/>
      <c r="BO317" s="181"/>
      <c r="BP317" s="181"/>
      <c r="BQ317" s="181"/>
      <c r="BR317" s="181"/>
      <c r="BS317" s="181"/>
      <c r="BT317" s="181"/>
      <c r="CM317" s="181"/>
      <c r="CN317" s="181"/>
      <c r="CO317" s="181"/>
      <c r="CP317" s="181"/>
      <c r="CQ317" s="181"/>
    </row>
    <row r="318" spans="1:95" s="173" customFormat="1">
      <c r="A318" s="181"/>
      <c r="B318" s="181"/>
      <c r="C318" s="181"/>
      <c r="D318" s="181"/>
      <c r="E318" s="181"/>
      <c r="F318" s="181"/>
      <c r="G318" s="181"/>
      <c r="H318" s="181"/>
      <c r="I318" s="181"/>
      <c r="J318" s="181"/>
      <c r="K318" s="181"/>
      <c r="L318" s="181"/>
      <c r="M318" s="181"/>
      <c r="N318" s="181"/>
      <c r="O318" s="181"/>
      <c r="P318" s="181"/>
      <c r="Q318" s="181"/>
      <c r="R318" s="181"/>
      <c r="S318" s="181"/>
      <c r="T318" s="181"/>
      <c r="U318" s="181"/>
      <c r="V318" s="181"/>
      <c r="W318" s="181"/>
      <c r="X318" s="181"/>
      <c r="Y318" s="181"/>
      <c r="Z318" s="181"/>
      <c r="AA318" s="181"/>
      <c r="AB318" s="181"/>
      <c r="AC318" s="181"/>
      <c r="AD318" s="181"/>
      <c r="AE318" s="181"/>
      <c r="AF318" s="181"/>
      <c r="AG318" s="181"/>
      <c r="AH318" s="181"/>
      <c r="AI318" s="181"/>
      <c r="AJ318" s="181"/>
      <c r="AK318" s="181"/>
      <c r="AL318" s="181"/>
      <c r="AM318" s="181"/>
      <c r="AN318" s="181"/>
      <c r="AO318" s="181"/>
      <c r="AP318" s="181"/>
      <c r="AQ318" s="181"/>
      <c r="AR318" s="181"/>
      <c r="AS318" s="181"/>
      <c r="AT318" s="181"/>
      <c r="AU318" s="181"/>
      <c r="AV318" s="181"/>
      <c r="AW318" s="181"/>
      <c r="AX318" s="181"/>
      <c r="AY318" s="181"/>
      <c r="AZ318" s="181"/>
      <c r="BA318" s="181"/>
      <c r="BB318" s="181"/>
      <c r="BN318" s="181"/>
      <c r="BO318" s="181"/>
      <c r="BP318" s="181"/>
      <c r="BQ318" s="181"/>
      <c r="BR318" s="181"/>
      <c r="BS318" s="181"/>
      <c r="BT318" s="181"/>
    </row>
    <row r="319" spans="1:95" s="173" customFormat="1">
      <c r="A319" s="181"/>
      <c r="B319" s="181"/>
      <c r="C319" s="181"/>
      <c r="D319" s="181"/>
      <c r="E319" s="181"/>
      <c r="F319" s="181"/>
      <c r="G319" s="181"/>
      <c r="H319" s="181"/>
      <c r="I319" s="181"/>
      <c r="J319" s="181"/>
      <c r="K319" s="181"/>
      <c r="L319" s="181"/>
      <c r="M319" s="181"/>
      <c r="N319" s="181"/>
      <c r="O319" s="181"/>
      <c r="P319" s="181"/>
      <c r="Q319" s="181"/>
      <c r="R319" s="181"/>
      <c r="S319" s="181"/>
      <c r="T319" s="181"/>
      <c r="U319" s="181"/>
      <c r="V319" s="181"/>
      <c r="W319" s="181"/>
      <c r="X319" s="181"/>
      <c r="Y319" s="181"/>
      <c r="Z319" s="181"/>
      <c r="AA319" s="181"/>
      <c r="AB319" s="181"/>
      <c r="AC319" s="181"/>
      <c r="AD319" s="181"/>
      <c r="AE319" s="181"/>
      <c r="AF319" s="181"/>
      <c r="AG319" s="181"/>
      <c r="AH319" s="181"/>
      <c r="AI319" s="181"/>
      <c r="AJ319" s="181"/>
      <c r="AK319" s="181"/>
      <c r="AL319" s="181"/>
      <c r="AM319" s="181"/>
      <c r="AN319" s="181"/>
      <c r="AO319" s="181"/>
      <c r="AP319" s="181"/>
      <c r="AQ319" s="181"/>
      <c r="AR319" s="181"/>
      <c r="AS319" s="181"/>
      <c r="AT319" s="181"/>
      <c r="AU319" s="181"/>
      <c r="AV319" s="181"/>
      <c r="AW319" s="181"/>
      <c r="AX319" s="181"/>
      <c r="AY319" s="181"/>
      <c r="AZ319" s="181"/>
      <c r="BA319" s="181"/>
      <c r="BB319" s="181"/>
      <c r="BN319" s="181"/>
      <c r="BO319" s="181"/>
      <c r="BP319" s="181"/>
      <c r="BQ319" s="181"/>
      <c r="BR319" s="181"/>
      <c r="BS319" s="181"/>
      <c r="BT319" s="181"/>
    </row>
    <row r="320" spans="1:95" s="173" customFormat="1">
      <c r="A320" s="181"/>
      <c r="B320" s="181"/>
      <c r="C320" s="181"/>
      <c r="D320" s="181"/>
      <c r="E320" s="181"/>
      <c r="F320" s="181"/>
      <c r="G320" s="181"/>
      <c r="H320" s="181"/>
      <c r="I320" s="181"/>
      <c r="J320" s="181"/>
      <c r="K320" s="181"/>
      <c r="L320" s="181"/>
      <c r="M320" s="181"/>
      <c r="N320" s="181"/>
      <c r="O320" s="181"/>
      <c r="P320" s="181"/>
      <c r="Q320" s="181"/>
      <c r="R320" s="181"/>
      <c r="S320" s="181"/>
      <c r="T320" s="181"/>
      <c r="U320" s="181"/>
      <c r="V320" s="181"/>
      <c r="W320" s="181"/>
      <c r="X320" s="181"/>
      <c r="Y320" s="181"/>
      <c r="Z320" s="181"/>
      <c r="AA320" s="181"/>
      <c r="AB320" s="181"/>
      <c r="AC320" s="181"/>
      <c r="AD320" s="181"/>
      <c r="AE320" s="181"/>
      <c r="AF320" s="181"/>
      <c r="AG320" s="181"/>
      <c r="AH320" s="181"/>
      <c r="AI320" s="181"/>
      <c r="AJ320" s="181"/>
      <c r="AK320" s="181"/>
      <c r="AL320" s="181"/>
      <c r="AM320" s="181"/>
      <c r="AN320" s="181"/>
      <c r="AO320" s="181"/>
      <c r="AP320" s="181"/>
      <c r="AQ320" s="181"/>
      <c r="AR320" s="181"/>
      <c r="AS320" s="181"/>
      <c r="AT320" s="181"/>
      <c r="AU320" s="181"/>
      <c r="AV320" s="181"/>
      <c r="AW320" s="181"/>
      <c r="AX320" s="181"/>
      <c r="AY320" s="181"/>
      <c r="AZ320" s="181"/>
      <c r="BA320" s="181"/>
      <c r="BB320" s="181"/>
      <c r="BN320" s="181"/>
      <c r="BO320" s="181"/>
      <c r="BP320" s="181"/>
      <c r="BQ320" s="181"/>
      <c r="BR320" s="181"/>
      <c r="BS320" s="181"/>
      <c r="BT320" s="181"/>
    </row>
    <row r="321" spans="1:90" s="173" customFormat="1">
      <c r="A321" s="181"/>
      <c r="B321" s="181"/>
      <c r="C321" s="181"/>
      <c r="D321" s="181"/>
      <c r="E321" s="181"/>
      <c r="F321" s="181"/>
      <c r="G321" s="181"/>
      <c r="H321" s="181"/>
      <c r="I321" s="181"/>
      <c r="J321" s="181"/>
      <c r="K321" s="181"/>
      <c r="L321" s="181"/>
      <c r="M321" s="181"/>
      <c r="N321" s="181"/>
      <c r="O321" s="181"/>
      <c r="P321" s="181"/>
      <c r="Q321" s="181"/>
      <c r="R321" s="181"/>
      <c r="S321" s="181"/>
      <c r="T321" s="181"/>
      <c r="U321" s="181"/>
      <c r="V321" s="181"/>
      <c r="W321" s="181"/>
      <c r="X321" s="181"/>
      <c r="Y321" s="181"/>
      <c r="Z321" s="181"/>
      <c r="AA321" s="181"/>
      <c r="AB321" s="181"/>
      <c r="AC321" s="181"/>
      <c r="AD321" s="181"/>
      <c r="AE321" s="181"/>
      <c r="AF321" s="181"/>
      <c r="AG321" s="181"/>
      <c r="AH321" s="181"/>
      <c r="AI321" s="181"/>
      <c r="AJ321" s="181"/>
      <c r="AK321" s="181"/>
      <c r="AL321" s="181"/>
      <c r="AM321" s="181"/>
      <c r="AN321" s="181"/>
      <c r="AO321" s="181"/>
      <c r="AP321" s="181"/>
      <c r="AQ321" s="181"/>
      <c r="AR321" s="181"/>
      <c r="AS321" s="181"/>
      <c r="AT321" s="181"/>
      <c r="AU321" s="181"/>
      <c r="AV321" s="181"/>
      <c r="AW321" s="181"/>
      <c r="AX321" s="181"/>
      <c r="AY321" s="181"/>
      <c r="AZ321" s="181"/>
      <c r="BA321" s="181"/>
      <c r="BB321" s="181"/>
      <c r="BN321" s="181"/>
      <c r="BO321" s="181"/>
      <c r="BP321" s="181"/>
      <c r="BQ321" s="181"/>
      <c r="BR321" s="181"/>
      <c r="BS321" s="181"/>
      <c r="BT321" s="181"/>
    </row>
    <row r="322" spans="1:90" s="173" customFormat="1">
      <c r="A322" s="181"/>
      <c r="B322" s="181"/>
      <c r="C322" s="181"/>
      <c r="D322" s="181"/>
      <c r="E322" s="181"/>
      <c r="F322" s="181"/>
      <c r="G322" s="181"/>
      <c r="H322" s="181"/>
      <c r="I322" s="181"/>
      <c r="J322" s="181"/>
      <c r="K322" s="254"/>
      <c r="L322" s="181"/>
      <c r="M322" s="181"/>
      <c r="N322" s="181"/>
      <c r="O322" s="181"/>
      <c r="P322" s="181"/>
      <c r="Q322" s="181"/>
      <c r="R322" s="181"/>
      <c r="S322" s="181"/>
      <c r="T322" s="181"/>
      <c r="U322" s="181"/>
      <c r="V322" s="181"/>
      <c r="W322" s="181"/>
      <c r="X322" s="181"/>
      <c r="Y322" s="181"/>
      <c r="Z322" s="181"/>
      <c r="AA322" s="181"/>
      <c r="AB322" s="181"/>
      <c r="AC322" s="181"/>
      <c r="AD322" s="181"/>
      <c r="AE322" s="181"/>
      <c r="AF322" s="181"/>
      <c r="AG322" s="181"/>
      <c r="AH322" s="181"/>
      <c r="AI322" s="181"/>
      <c r="AJ322" s="181"/>
      <c r="AK322" s="181"/>
      <c r="AL322" s="181"/>
      <c r="AM322" s="181"/>
      <c r="AN322" s="181"/>
      <c r="AO322" s="181"/>
      <c r="AP322" s="181"/>
      <c r="AQ322" s="181"/>
      <c r="AR322" s="181"/>
      <c r="AS322" s="181"/>
      <c r="AT322" s="181"/>
      <c r="AU322" s="181"/>
      <c r="AV322" s="181"/>
      <c r="AW322" s="181"/>
      <c r="AX322" s="181"/>
      <c r="AY322" s="181"/>
      <c r="AZ322" s="181"/>
      <c r="BA322" s="181"/>
      <c r="BB322" s="181"/>
      <c r="BN322" s="181"/>
      <c r="BO322" s="181"/>
      <c r="BP322" s="181"/>
      <c r="BQ322" s="181"/>
      <c r="BR322" s="181"/>
      <c r="BS322" s="181"/>
      <c r="BT322" s="181"/>
    </row>
    <row r="323" spans="1:90" s="173" customFormat="1">
      <c r="A323" s="181"/>
      <c r="B323" s="181"/>
      <c r="C323" s="181"/>
      <c r="D323" s="181"/>
      <c r="E323" s="181"/>
      <c r="F323" s="181"/>
      <c r="G323" s="181"/>
      <c r="H323" s="181"/>
      <c r="I323" s="181"/>
      <c r="J323" s="181"/>
      <c r="K323" s="254"/>
      <c r="L323" s="181"/>
      <c r="M323" s="181"/>
      <c r="N323" s="181"/>
      <c r="O323" s="181"/>
      <c r="P323" s="181"/>
      <c r="Q323" s="181"/>
      <c r="R323" s="181"/>
      <c r="S323" s="181"/>
      <c r="T323" s="181"/>
      <c r="U323" s="181"/>
      <c r="V323" s="181"/>
      <c r="W323" s="181"/>
      <c r="X323" s="181"/>
      <c r="Y323" s="181"/>
      <c r="Z323" s="181"/>
      <c r="AA323" s="181"/>
      <c r="AB323" s="181"/>
      <c r="AC323" s="181"/>
      <c r="AD323" s="181"/>
      <c r="AE323" s="181"/>
      <c r="AF323" s="181"/>
      <c r="AG323" s="181"/>
      <c r="AH323" s="181"/>
      <c r="AI323" s="181"/>
      <c r="AJ323" s="181"/>
      <c r="AK323" s="181"/>
      <c r="AL323" s="181"/>
      <c r="AM323" s="181"/>
      <c r="AN323" s="181"/>
      <c r="AO323" s="181"/>
      <c r="AP323" s="181"/>
      <c r="AQ323" s="181"/>
      <c r="AR323" s="181"/>
      <c r="AS323" s="181"/>
      <c r="AT323" s="181"/>
      <c r="AU323" s="181"/>
      <c r="AV323" s="181"/>
      <c r="AW323" s="181"/>
      <c r="AX323" s="181"/>
      <c r="AY323" s="181"/>
      <c r="AZ323" s="181"/>
      <c r="BA323" s="181"/>
      <c r="BB323" s="181"/>
      <c r="BN323" s="181"/>
      <c r="BO323" s="181"/>
      <c r="BP323" s="181"/>
      <c r="BQ323" s="181"/>
      <c r="BR323" s="181"/>
      <c r="BS323" s="181"/>
      <c r="BT323" s="181"/>
    </row>
    <row r="324" spans="1:90" s="173" customFormat="1">
      <c r="A324" s="181"/>
      <c r="B324" s="181"/>
      <c r="C324" s="181"/>
      <c r="D324" s="181"/>
      <c r="E324" s="181"/>
      <c r="F324" s="181"/>
      <c r="G324" s="181"/>
      <c r="H324" s="181"/>
      <c r="I324" s="181"/>
      <c r="J324" s="181"/>
      <c r="K324" s="254"/>
      <c r="L324" s="181"/>
      <c r="M324" s="181"/>
      <c r="N324" s="181"/>
      <c r="O324" s="181"/>
      <c r="P324" s="181"/>
      <c r="Q324" s="181"/>
      <c r="R324" s="181"/>
      <c r="S324" s="181"/>
      <c r="T324" s="181"/>
      <c r="U324" s="181"/>
      <c r="V324" s="181"/>
      <c r="W324" s="181"/>
      <c r="X324" s="181"/>
      <c r="Y324" s="181"/>
      <c r="Z324" s="181"/>
      <c r="AA324" s="181"/>
      <c r="AB324" s="181"/>
      <c r="AC324" s="181"/>
      <c r="AD324" s="181"/>
      <c r="AE324" s="181"/>
      <c r="AF324" s="181"/>
      <c r="AG324" s="181"/>
      <c r="AH324" s="181"/>
      <c r="AI324" s="181"/>
      <c r="AJ324" s="181"/>
      <c r="AK324" s="181"/>
      <c r="AL324" s="181"/>
      <c r="AM324" s="181"/>
      <c r="AN324" s="181"/>
      <c r="AO324" s="181"/>
      <c r="AP324" s="181"/>
      <c r="AQ324" s="181"/>
      <c r="AR324" s="181"/>
      <c r="AS324" s="181"/>
      <c r="AT324" s="181"/>
      <c r="AU324" s="181"/>
      <c r="AV324" s="181"/>
      <c r="AW324" s="181"/>
      <c r="AX324" s="181"/>
      <c r="AY324" s="181"/>
      <c r="AZ324" s="181"/>
      <c r="BA324" s="181"/>
      <c r="BB324" s="181"/>
      <c r="BN324" s="181"/>
      <c r="BO324" s="181"/>
      <c r="BP324" s="181"/>
      <c r="BQ324" s="181"/>
      <c r="BR324" s="181"/>
      <c r="BS324" s="181"/>
      <c r="BT324" s="181"/>
    </row>
    <row r="325" spans="1:90">
      <c r="A325" s="181"/>
      <c r="B325" s="181"/>
      <c r="C325" s="181"/>
      <c r="D325" s="181"/>
      <c r="E325" s="181"/>
      <c r="F325" s="181"/>
      <c r="G325" s="181"/>
      <c r="H325" s="181"/>
      <c r="I325" s="181"/>
      <c r="J325" s="181"/>
      <c r="K325" s="254"/>
      <c r="L325" s="181"/>
      <c r="M325" s="181"/>
      <c r="N325" s="181"/>
      <c r="O325" s="181"/>
      <c r="P325" s="181"/>
      <c r="Q325" s="181"/>
      <c r="R325" s="181"/>
      <c r="S325" s="181"/>
      <c r="T325" s="181"/>
      <c r="U325" s="181"/>
      <c r="V325" s="181"/>
      <c r="W325" s="181"/>
      <c r="X325" s="181"/>
      <c r="Y325" s="181"/>
      <c r="Z325" s="181"/>
      <c r="AA325" s="181"/>
      <c r="AB325" s="181"/>
      <c r="AC325" s="181"/>
      <c r="AD325" s="181"/>
      <c r="AE325" s="181"/>
      <c r="AF325" s="181"/>
      <c r="AG325" s="181"/>
      <c r="AH325" s="181"/>
      <c r="AI325" s="181"/>
      <c r="AJ325" s="181"/>
      <c r="AK325" s="181"/>
      <c r="AL325" s="181"/>
      <c r="AM325" s="181"/>
      <c r="AN325" s="181"/>
      <c r="AO325" s="181"/>
      <c r="AP325" s="181"/>
      <c r="AQ325" s="181"/>
      <c r="AR325" s="181"/>
      <c r="AS325" s="181"/>
      <c r="AT325" s="181"/>
      <c r="AU325" s="181"/>
      <c r="AV325" s="181"/>
      <c r="AW325" s="181"/>
      <c r="AX325" s="181"/>
      <c r="AY325" s="181"/>
      <c r="AZ325" s="181"/>
      <c r="BA325" s="181"/>
      <c r="BB325" s="181"/>
      <c r="BC325" s="173"/>
      <c r="BD325" s="173"/>
      <c r="BE325" s="173"/>
      <c r="BF325" s="173"/>
      <c r="BG325" s="173"/>
      <c r="BH325" s="173"/>
      <c r="BI325" s="173"/>
      <c r="BJ325" s="173"/>
      <c r="BK325" s="173"/>
      <c r="BL325" s="173"/>
      <c r="BM325" s="173"/>
      <c r="BN325" s="181"/>
      <c r="BO325" s="181"/>
      <c r="BP325" s="181"/>
      <c r="BQ325" s="181"/>
      <c r="BR325" s="181"/>
      <c r="BS325" s="181"/>
      <c r="BT325" s="181"/>
      <c r="BU325" s="173"/>
      <c r="BV325" s="173"/>
      <c r="BW325" s="173"/>
      <c r="BX325" s="173"/>
      <c r="BY325" s="173"/>
      <c r="BZ325" s="173"/>
      <c r="CA325" s="173"/>
      <c r="CB325" s="173"/>
      <c r="CC325" s="173"/>
      <c r="CD325" s="173"/>
      <c r="CE325" s="173"/>
      <c r="CF325" s="173"/>
      <c r="CG325" s="173"/>
      <c r="CH325" s="173"/>
      <c r="CI325" s="173"/>
      <c r="CJ325" s="173"/>
      <c r="CK325" s="173"/>
      <c r="CL325" s="173"/>
    </row>
    <row r="326" spans="1:90">
      <c r="A326" s="181"/>
      <c r="B326" s="181"/>
      <c r="C326" s="181"/>
      <c r="D326" s="181"/>
      <c r="E326" s="181"/>
      <c r="F326" s="181"/>
      <c r="G326" s="181"/>
      <c r="H326" s="181"/>
      <c r="I326" s="181"/>
      <c r="J326" s="181"/>
      <c r="K326" s="254"/>
      <c r="L326" s="181"/>
      <c r="M326" s="181"/>
      <c r="N326" s="181"/>
      <c r="O326" s="181"/>
      <c r="P326" s="181"/>
      <c r="Q326" s="181"/>
      <c r="R326" s="181"/>
      <c r="S326" s="181"/>
      <c r="T326" s="181"/>
      <c r="U326" s="181"/>
      <c r="V326" s="181"/>
      <c r="W326" s="181"/>
      <c r="X326" s="181"/>
      <c r="Y326" s="181"/>
      <c r="Z326" s="181"/>
      <c r="AA326" s="181"/>
      <c r="AB326" s="181"/>
      <c r="AC326" s="181"/>
      <c r="AD326" s="181"/>
      <c r="AE326" s="181"/>
      <c r="AF326" s="181"/>
      <c r="AG326" s="181"/>
      <c r="AH326" s="181"/>
      <c r="AI326" s="181"/>
      <c r="AJ326" s="181"/>
      <c r="AK326" s="181"/>
      <c r="AL326" s="181"/>
      <c r="AM326" s="181"/>
      <c r="AN326" s="181"/>
      <c r="AO326" s="181"/>
      <c r="AP326" s="181"/>
      <c r="AQ326" s="181"/>
      <c r="AR326" s="181"/>
      <c r="AS326" s="181"/>
      <c r="AT326" s="181"/>
      <c r="AU326" s="181"/>
      <c r="AV326" s="181"/>
      <c r="AW326" s="181"/>
      <c r="AX326" s="181"/>
      <c r="AY326" s="181"/>
      <c r="AZ326" s="181"/>
      <c r="BA326" s="181"/>
      <c r="BB326" s="181"/>
      <c r="BC326" s="173"/>
      <c r="BD326" s="173"/>
      <c r="BE326" s="173"/>
      <c r="BF326" s="173"/>
      <c r="BG326" s="173"/>
      <c r="BH326" s="173"/>
      <c r="BI326" s="173"/>
      <c r="BJ326" s="173"/>
      <c r="BK326" s="173"/>
      <c r="BL326" s="173"/>
      <c r="BM326" s="173"/>
      <c r="BN326" s="181"/>
      <c r="BO326" s="181"/>
      <c r="BP326" s="181"/>
      <c r="BQ326" s="181"/>
      <c r="BR326" s="181"/>
      <c r="BS326" s="181"/>
      <c r="BT326" s="181"/>
      <c r="BU326" s="173"/>
      <c r="BV326" s="173"/>
      <c r="BW326" s="173"/>
      <c r="BX326" s="173"/>
      <c r="BY326" s="173"/>
      <c r="BZ326" s="173"/>
      <c r="CA326" s="173"/>
      <c r="CB326" s="173"/>
      <c r="CC326" s="173"/>
      <c r="CD326" s="173"/>
      <c r="CE326" s="173"/>
      <c r="CF326" s="173"/>
      <c r="CG326" s="173"/>
      <c r="CH326" s="173"/>
      <c r="CI326" s="173"/>
      <c r="CJ326" s="173"/>
      <c r="CK326" s="173"/>
      <c r="CL326" s="173"/>
    </row>
    <row r="327" spans="1:90">
      <c r="A327" s="181"/>
      <c r="B327" s="181"/>
      <c r="C327" s="181"/>
      <c r="D327" s="181"/>
      <c r="E327" s="181"/>
      <c r="F327" s="181"/>
      <c r="G327" s="181"/>
      <c r="H327" s="181"/>
      <c r="I327" s="181"/>
      <c r="J327" s="181"/>
      <c r="K327" s="254"/>
      <c r="L327" s="181"/>
      <c r="M327" s="181"/>
      <c r="N327" s="181"/>
      <c r="O327" s="181"/>
      <c r="P327" s="181"/>
      <c r="Q327" s="181"/>
      <c r="R327" s="181"/>
      <c r="S327" s="181"/>
      <c r="T327" s="181"/>
      <c r="U327" s="181"/>
      <c r="V327" s="181"/>
      <c r="W327" s="181"/>
      <c r="X327" s="181"/>
      <c r="Y327" s="181"/>
      <c r="Z327" s="181"/>
      <c r="AA327" s="181"/>
      <c r="AB327" s="181"/>
      <c r="AC327" s="181"/>
      <c r="AD327" s="181"/>
      <c r="AE327" s="181"/>
      <c r="AF327" s="181"/>
      <c r="AG327" s="181"/>
      <c r="AH327" s="181"/>
      <c r="AI327" s="181"/>
      <c r="AJ327" s="181"/>
      <c r="AK327" s="181"/>
      <c r="AL327" s="181"/>
      <c r="AM327" s="181"/>
      <c r="AN327" s="181"/>
      <c r="AO327" s="181"/>
      <c r="AP327" s="181"/>
      <c r="AQ327" s="181"/>
      <c r="AR327" s="181"/>
      <c r="AS327" s="181"/>
      <c r="AT327" s="181"/>
      <c r="AU327" s="181"/>
      <c r="AV327" s="181"/>
      <c r="AW327" s="181"/>
      <c r="AX327" s="181"/>
      <c r="AY327" s="181"/>
      <c r="AZ327" s="181"/>
      <c r="BA327" s="181"/>
      <c r="BB327" s="181"/>
      <c r="BC327" s="173"/>
      <c r="BD327" s="173"/>
      <c r="BE327" s="173"/>
      <c r="BF327" s="173"/>
      <c r="BG327" s="173"/>
      <c r="BH327" s="173"/>
      <c r="BI327" s="173"/>
      <c r="BJ327" s="173"/>
      <c r="BK327" s="173"/>
      <c r="BL327" s="173"/>
      <c r="BM327" s="173"/>
      <c r="BN327" s="181"/>
      <c r="BO327" s="181"/>
      <c r="BP327" s="181"/>
      <c r="BQ327" s="181"/>
      <c r="BR327" s="181"/>
      <c r="BS327" s="181"/>
      <c r="BT327" s="181"/>
      <c r="BU327" s="173"/>
      <c r="BV327" s="173"/>
      <c r="BW327" s="173"/>
      <c r="BX327" s="173"/>
      <c r="BY327" s="173"/>
      <c r="BZ327" s="173"/>
      <c r="CA327" s="173"/>
      <c r="CB327" s="173"/>
      <c r="CC327" s="173"/>
      <c r="CD327" s="173"/>
      <c r="CE327" s="173"/>
      <c r="CF327" s="173"/>
      <c r="CG327" s="173"/>
      <c r="CH327" s="173"/>
      <c r="CI327" s="173"/>
      <c r="CJ327" s="173"/>
      <c r="CK327" s="173"/>
      <c r="CL327" s="173"/>
    </row>
    <row r="328" spans="1:90">
      <c r="A328" s="181"/>
      <c r="B328" s="181"/>
      <c r="C328" s="181"/>
      <c r="D328" s="181"/>
      <c r="E328" s="181"/>
      <c r="F328" s="181"/>
      <c r="G328" s="181"/>
      <c r="H328" s="181"/>
      <c r="I328" s="181"/>
      <c r="J328" s="181"/>
      <c r="K328" s="254"/>
      <c r="L328" s="181"/>
      <c r="M328" s="181"/>
      <c r="N328" s="181"/>
      <c r="O328" s="181"/>
      <c r="P328" s="181"/>
      <c r="Q328" s="181"/>
      <c r="R328" s="181"/>
      <c r="S328" s="181"/>
      <c r="T328" s="181"/>
      <c r="U328" s="181"/>
      <c r="V328" s="181"/>
      <c r="W328" s="181"/>
      <c r="X328" s="181"/>
      <c r="Y328" s="181"/>
      <c r="Z328" s="181"/>
      <c r="AA328" s="181"/>
      <c r="AB328" s="181"/>
      <c r="AC328" s="181"/>
      <c r="AD328" s="181"/>
      <c r="AE328" s="181"/>
      <c r="AF328" s="181"/>
      <c r="AG328" s="181"/>
      <c r="AH328" s="181"/>
      <c r="AI328" s="181"/>
      <c r="AJ328" s="181"/>
      <c r="AK328" s="181"/>
      <c r="AL328" s="181"/>
      <c r="AM328" s="181"/>
      <c r="AN328" s="181"/>
      <c r="AO328" s="181"/>
      <c r="AP328" s="181"/>
      <c r="AQ328" s="181"/>
      <c r="AR328" s="181"/>
      <c r="AS328" s="181"/>
      <c r="AT328" s="181"/>
      <c r="AU328" s="181"/>
      <c r="AV328" s="181"/>
      <c r="AW328" s="181"/>
      <c r="AX328" s="181"/>
      <c r="AY328" s="181"/>
      <c r="AZ328" s="181"/>
      <c r="BA328" s="181"/>
      <c r="BB328" s="181"/>
      <c r="BC328" s="173"/>
      <c r="BD328" s="173"/>
      <c r="BE328" s="173"/>
      <c r="BF328" s="173"/>
      <c r="BG328" s="173"/>
      <c r="BH328" s="173"/>
      <c r="BI328" s="173"/>
      <c r="BJ328" s="173"/>
      <c r="BK328" s="173"/>
      <c r="BL328" s="173"/>
      <c r="BM328" s="173"/>
      <c r="BN328" s="181"/>
      <c r="BO328" s="181"/>
      <c r="BP328" s="181"/>
      <c r="BQ328" s="181"/>
      <c r="BR328" s="181"/>
      <c r="BS328" s="181"/>
      <c r="BT328" s="181"/>
      <c r="BU328" s="173"/>
      <c r="BV328" s="173"/>
      <c r="BW328" s="173"/>
      <c r="BX328" s="173"/>
      <c r="BY328" s="173"/>
      <c r="BZ328" s="173"/>
      <c r="CA328" s="173"/>
      <c r="CB328" s="173"/>
      <c r="CC328" s="173"/>
      <c r="CD328" s="173"/>
      <c r="CE328" s="173"/>
      <c r="CF328" s="173"/>
      <c r="CG328" s="173"/>
      <c r="CH328" s="173"/>
      <c r="CI328" s="173"/>
      <c r="CJ328" s="173"/>
      <c r="CK328" s="173"/>
      <c r="CL328" s="173"/>
    </row>
    <row r="329" spans="1:90">
      <c r="A329" s="181"/>
      <c r="B329" s="181"/>
      <c r="C329" s="181"/>
      <c r="D329" s="181"/>
      <c r="E329" s="181"/>
      <c r="F329" s="181"/>
      <c r="G329" s="181"/>
      <c r="H329" s="181"/>
      <c r="I329" s="181"/>
      <c r="J329" s="181"/>
      <c r="K329" s="254"/>
      <c r="L329" s="181"/>
      <c r="M329" s="181"/>
      <c r="N329" s="181"/>
      <c r="O329" s="181"/>
      <c r="P329" s="181"/>
      <c r="Q329" s="181"/>
      <c r="R329" s="181"/>
      <c r="S329" s="181"/>
      <c r="T329" s="181"/>
      <c r="U329" s="181"/>
      <c r="V329" s="181"/>
      <c r="W329" s="181"/>
      <c r="X329" s="181"/>
      <c r="Y329" s="181"/>
      <c r="Z329" s="181"/>
      <c r="AA329" s="181"/>
      <c r="AB329" s="181"/>
      <c r="AC329" s="181"/>
      <c r="AD329" s="181"/>
      <c r="AE329" s="181"/>
      <c r="AF329" s="181"/>
      <c r="AG329" s="181"/>
      <c r="AH329" s="181"/>
      <c r="AI329" s="181"/>
      <c r="AJ329" s="181"/>
      <c r="AK329" s="181"/>
      <c r="AL329" s="181"/>
      <c r="AM329" s="181"/>
      <c r="AN329" s="181"/>
      <c r="AO329" s="181"/>
      <c r="AP329" s="181"/>
      <c r="AQ329" s="181"/>
      <c r="AR329" s="181"/>
      <c r="AS329" s="181"/>
      <c r="AT329" s="181"/>
      <c r="AU329" s="181"/>
      <c r="AV329" s="181"/>
      <c r="AW329" s="181"/>
      <c r="AX329" s="181"/>
      <c r="AY329" s="181"/>
      <c r="AZ329" s="181"/>
      <c r="BA329" s="181"/>
      <c r="BB329" s="181"/>
      <c r="BC329" s="173"/>
      <c r="BD329" s="173"/>
      <c r="BE329" s="173"/>
      <c r="BF329" s="173"/>
      <c r="BG329" s="173"/>
      <c r="BH329" s="173"/>
      <c r="BI329" s="173"/>
      <c r="BJ329" s="173"/>
      <c r="BK329" s="173"/>
      <c r="BL329" s="173"/>
      <c r="BM329" s="173"/>
      <c r="BN329" s="181"/>
      <c r="BO329" s="181"/>
      <c r="BP329" s="181"/>
      <c r="BQ329" s="181"/>
      <c r="BR329" s="181"/>
      <c r="BS329" s="181"/>
      <c r="BT329" s="181"/>
      <c r="BU329" s="173"/>
      <c r="BV329" s="173"/>
      <c r="BW329" s="173"/>
      <c r="BX329" s="173"/>
      <c r="BY329" s="173"/>
      <c r="BZ329" s="173"/>
      <c r="CA329" s="173"/>
      <c r="CB329" s="173"/>
      <c r="CC329" s="173"/>
      <c r="CD329" s="173"/>
      <c r="CE329" s="173"/>
      <c r="CF329" s="173"/>
      <c r="CG329" s="173"/>
      <c r="CH329" s="173"/>
      <c r="CI329" s="173"/>
      <c r="CJ329" s="173"/>
      <c r="CK329" s="173"/>
      <c r="CL329" s="173"/>
    </row>
    <row r="330" spans="1:90">
      <c r="A330" s="181"/>
      <c r="B330" s="181"/>
      <c r="C330" s="181"/>
      <c r="D330" s="181"/>
      <c r="E330" s="181"/>
      <c r="F330" s="181"/>
      <c r="G330" s="181"/>
      <c r="H330" s="181"/>
      <c r="I330" s="181"/>
      <c r="J330" s="181"/>
      <c r="K330" s="254"/>
      <c r="L330" s="181"/>
      <c r="M330" s="181"/>
      <c r="N330" s="181"/>
      <c r="O330" s="181"/>
      <c r="P330" s="181"/>
      <c r="Q330" s="181"/>
      <c r="R330" s="181"/>
      <c r="S330" s="181"/>
      <c r="T330" s="181"/>
      <c r="U330" s="181"/>
      <c r="V330" s="181"/>
      <c r="W330" s="181"/>
      <c r="X330" s="181"/>
      <c r="Y330" s="181"/>
      <c r="Z330" s="181"/>
      <c r="AA330" s="181"/>
      <c r="AB330" s="181"/>
      <c r="AC330" s="181"/>
      <c r="AD330" s="181"/>
      <c r="AE330" s="181"/>
      <c r="AF330" s="181"/>
      <c r="AG330" s="181"/>
      <c r="AH330" s="181"/>
      <c r="AI330" s="181"/>
      <c r="AJ330" s="181"/>
      <c r="AK330" s="181"/>
      <c r="AL330" s="181"/>
      <c r="AM330" s="181"/>
      <c r="AN330" s="181"/>
      <c r="AO330" s="181"/>
      <c r="AP330" s="181"/>
      <c r="AQ330" s="181"/>
      <c r="AR330" s="181"/>
      <c r="AS330" s="181"/>
      <c r="AT330" s="181"/>
      <c r="AU330" s="181"/>
      <c r="AV330" s="181"/>
      <c r="AW330" s="181"/>
      <c r="AX330" s="181"/>
      <c r="AY330" s="181"/>
      <c r="AZ330" s="181"/>
      <c r="BA330" s="181"/>
      <c r="BB330" s="181"/>
      <c r="BC330" s="173"/>
      <c r="BD330" s="173"/>
      <c r="BE330" s="173"/>
      <c r="BF330" s="173"/>
      <c r="BG330" s="173"/>
      <c r="BH330" s="173"/>
      <c r="BI330" s="173"/>
      <c r="BJ330" s="173"/>
      <c r="BK330" s="173"/>
      <c r="BL330" s="173"/>
      <c r="BM330" s="173"/>
      <c r="BN330" s="181"/>
      <c r="BO330" s="181"/>
      <c r="BP330" s="181"/>
      <c r="BQ330" s="181"/>
      <c r="BR330" s="181"/>
      <c r="BS330" s="181"/>
      <c r="BT330" s="181"/>
      <c r="BU330" s="173"/>
      <c r="BV330" s="173"/>
      <c r="BW330" s="173"/>
      <c r="BX330" s="173"/>
      <c r="BY330" s="173"/>
      <c r="BZ330" s="173"/>
      <c r="CA330" s="173"/>
      <c r="CB330" s="173"/>
      <c r="CC330" s="173"/>
      <c r="CD330" s="173"/>
      <c r="CE330" s="173"/>
      <c r="CF330" s="173"/>
      <c r="CG330" s="173"/>
      <c r="CH330" s="173"/>
      <c r="CI330" s="173"/>
      <c r="CJ330" s="173"/>
      <c r="CK330" s="173"/>
      <c r="CL330" s="173"/>
    </row>
    <row r="331" spans="1:90">
      <c r="A331" s="181"/>
      <c r="B331" s="181"/>
      <c r="C331" s="181"/>
      <c r="D331" s="181"/>
      <c r="E331" s="181"/>
      <c r="F331" s="181"/>
      <c r="G331" s="181"/>
      <c r="H331" s="181"/>
      <c r="I331" s="181"/>
      <c r="J331" s="181"/>
      <c r="K331" s="254"/>
      <c r="L331" s="181"/>
      <c r="M331" s="181"/>
      <c r="N331" s="181"/>
      <c r="O331" s="181"/>
      <c r="P331" s="181"/>
      <c r="Q331" s="181"/>
      <c r="R331" s="181"/>
      <c r="S331" s="181"/>
      <c r="T331" s="181"/>
      <c r="U331" s="181"/>
      <c r="V331" s="181"/>
      <c r="W331" s="181"/>
      <c r="X331" s="181"/>
      <c r="Y331" s="181"/>
      <c r="Z331" s="181"/>
      <c r="AA331" s="181"/>
      <c r="AB331" s="181"/>
      <c r="AC331" s="181"/>
      <c r="AD331" s="181"/>
      <c r="AE331" s="181"/>
      <c r="AF331" s="181"/>
      <c r="AG331" s="181"/>
      <c r="AH331" s="181"/>
      <c r="AI331" s="181"/>
      <c r="AJ331" s="181"/>
      <c r="AK331" s="181"/>
      <c r="AL331" s="181"/>
      <c r="AM331" s="181"/>
      <c r="AN331" s="181"/>
      <c r="AO331" s="181"/>
      <c r="AP331" s="181"/>
      <c r="AQ331" s="181"/>
      <c r="AR331" s="181"/>
      <c r="AS331" s="181"/>
      <c r="AT331" s="181"/>
      <c r="AU331" s="181"/>
      <c r="AV331" s="181"/>
      <c r="AW331" s="181"/>
      <c r="AX331" s="181"/>
      <c r="AY331" s="181"/>
      <c r="AZ331" s="181"/>
      <c r="BA331" s="181"/>
      <c r="BB331" s="181"/>
      <c r="BC331" s="173"/>
      <c r="BD331" s="173"/>
      <c r="BE331" s="173"/>
      <c r="BF331" s="173"/>
      <c r="BG331" s="173"/>
      <c r="BH331" s="173"/>
      <c r="BI331" s="173"/>
      <c r="BJ331" s="173"/>
      <c r="BK331" s="173"/>
      <c r="BL331" s="173"/>
      <c r="BM331" s="173"/>
      <c r="BN331" s="181"/>
      <c r="BO331" s="181"/>
      <c r="BP331" s="181"/>
      <c r="BQ331" s="181"/>
      <c r="BR331" s="181"/>
      <c r="BS331" s="181"/>
      <c r="BT331" s="181"/>
      <c r="BU331" s="173"/>
      <c r="BV331" s="173"/>
      <c r="BW331" s="173"/>
      <c r="BX331" s="173"/>
      <c r="BY331" s="173"/>
      <c r="BZ331" s="173"/>
      <c r="CA331" s="173"/>
      <c r="CB331" s="173"/>
      <c r="CC331" s="173"/>
      <c r="CD331" s="173"/>
      <c r="CE331" s="173"/>
      <c r="CF331" s="173"/>
      <c r="CG331" s="173"/>
      <c r="CH331" s="173"/>
      <c r="CI331" s="173"/>
      <c r="CJ331" s="173"/>
      <c r="CK331" s="173"/>
      <c r="CL331" s="173"/>
    </row>
    <row r="332" spans="1:90">
      <c r="A332" s="181"/>
      <c r="B332" s="181"/>
      <c r="C332" s="181"/>
      <c r="D332" s="181"/>
      <c r="E332" s="181"/>
      <c r="F332" s="181"/>
      <c r="G332" s="181"/>
      <c r="H332" s="181"/>
      <c r="I332" s="181"/>
      <c r="J332" s="181"/>
      <c r="K332" s="254"/>
      <c r="L332" s="181"/>
      <c r="M332" s="181"/>
      <c r="N332" s="181"/>
      <c r="O332" s="181"/>
      <c r="P332" s="181"/>
      <c r="Q332" s="181"/>
      <c r="R332" s="181"/>
      <c r="S332" s="181"/>
      <c r="T332" s="181"/>
      <c r="U332" s="181"/>
      <c r="V332" s="181"/>
      <c r="W332" s="181"/>
      <c r="X332" s="181"/>
      <c r="Y332" s="181"/>
      <c r="Z332" s="181"/>
      <c r="AA332" s="181"/>
      <c r="AB332" s="181"/>
      <c r="AC332" s="181"/>
      <c r="AD332" s="181"/>
      <c r="AE332" s="181"/>
      <c r="AF332" s="181"/>
      <c r="AG332" s="181"/>
      <c r="AH332" s="181"/>
      <c r="AI332" s="181"/>
      <c r="AJ332" s="181"/>
      <c r="AK332" s="181"/>
      <c r="AL332" s="181"/>
      <c r="AM332" s="181"/>
      <c r="AN332" s="181"/>
      <c r="AO332" s="181"/>
      <c r="AP332" s="181"/>
      <c r="AQ332" s="181"/>
      <c r="AR332" s="181"/>
      <c r="AS332" s="181"/>
      <c r="AT332" s="181"/>
      <c r="AU332" s="181"/>
      <c r="AV332" s="181"/>
      <c r="AW332" s="181"/>
      <c r="AX332" s="181"/>
      <c r="AY332" s="181"/>
      <c r="AZ332" s="181"/>
      <c r="BA332" s="181"/>
      <c r="BB332" s="181"/>
      <c r="BC332" s="173"/>
      <c r="BD332" s="173"/>
      <c r="BE332" s="173"/>
      <c r="BF332" s="173"/>
      <c r="BG332" s="173"/>
      <c r="BH332" s="173"/>
      <c r="BI332" s="173"/>
      <c r="BJ332" s="173"/>
      <c r="BK332" s="173"/>
      <c r="BL332" s="173"/>
      <c r="BM332" s="173"/>
      <c r="BN332" s="181"/>
      <c r="BO332" s="181"/>
      <c r="BP332" s="181"/>
      <c r="BQ332" s="181"/>
      <c r="BR332" s="181"/>
      <c r="BS332" s="181"/>
      <c r="BT332" s="181"/>
      <c r="BU332" s="173"/>
      <c r="BV332" s="173"/>
      <c r="BW332" s="173"/>
      <c r="BX332" s="173"/>
      <c r="BY332" s="173"/>
      <c r="BZ332" s="173"/>
      <c r="CA332" s="173"/>
      <c r="CB332" s="173"/>
      <c r="CC332" s="173"/>
      <c r="CD332" s="173"/>
      <c r="CE332" s="173"/>
      <c r="CF332" s="173"/>
      <c r="CG332" s="173"/>
      <c r="CH332" s="173"/>
      <c r="CI332" s="173"/>
      <c r="CJ332" s="173"/>
      <c r="CK332" s="173"/>
      <c r="CL332" s="173"/>
    </row>
    <row r="333" spans="1:90">
      <c r="A333" s="181"/>
      <c r="B333" s="181"/>
      <c r="C333" s="181"/>
      <c r="D333" s="181"/>
      <c r="E333" s="181"/>
      <c r="F333" s="181"/>
      <c r="G333" s="181"/>
      <c r="H333" s="181"/>
      <c r="I333" s="181"/>
      <c r="J333" s="181"/>
      <c r="K333" s="254"/>
      <c r="L333" s="181"/>
      <c r="M333" s="181"/>
      <c r="N333" s="181"/>
      <c r="O333" s="181"/>
      <c r="P333" s="181"/>
      <c r="Q333" s="181"/>
      <c r="R333" s="181"/>
      <c r="S333" s="181"/>
      <c r="T333" s="181"/>
      <c r="U333" s="181"/>
      <c r="V333" s="181"/>
      <c r="W333" s="181"/>
      <c r="X333" s="181"/>
      <c r="Y333" s="181"/>
      <c r="Z333" s="181"/>
      <c r="AA333" s="181"/>
      <c r="AB333" s="181"/>
      <c r="AC333" s="181"/>
      <c r="AD333" s="181"/>
      <c r="AE333" s="181"/>
      <c r="AF333" s="181"/>
      <c r="AG333" s="181"/>
      <c r="AH333" s="181"/>
      <c r="AI333" s="181"/>
      <c r="AJ333" s="181"/>
      <c r="AK333" s="181"/>
      <c r="AL333" s="181"/>
      <c r="AM333" s="181"/>
      <c r="AN333" s="181"/>
      <c r="AO333" s="181"/>
      <c r="AP333" s="181"/>
      <c r="AQ333" s="181"/>
      <c r="AR333" s="181"/>
      <c r="AS333" s="181"/>
      <c r="AT333" s="181"/>
      <c r="AU333" s="181"/>
      <c r="AV333" s="181"/>
      <c r="AW333" s="181"/>
      <c r="AX333" s="181"/>
      <c r="AY333" s="181"/>
      <c r="AZ333" s="181"/>
      <c r="BA333" s="181"/>
      <c r="BB333" s="181"/>
      <c r="BC333" s="173"/>
      <c r="BD333" s="173"/>
      <c r="BE333" s="173"/>
      <c r="BF333" s="173"/>
      <c r="BG333" s="173"/>
      <c r="BH333" s="173"/>
      <c r="BI333" s="173"/>
      <c r="BJ333" s="173"/>
      <c r="BK333" s="173"/>
      <c r="BL333" s="173"/>
      <c r="BM333" s="173"/>
      <c r="BN333" s="181"/>
      <c r="BO333" s="181"/>
      <c r="BP333" s="181"/>
      <c r="BQ333" s="181"/>
      <c r="BR333" s="181"/>
      <c r="BS333" s="181"/>
      <c r="BT333" s="181"/>
      <c r="BU333" s="173"/>
      <c r="BV333" s="173"/>
      <c r="BW333" s="173"/>
      <c r="BX333" s="173"/>
      <c r="BY333" s="173"/>
      <c r="BZ333" s="173"/>
      <c r="CA333" s="173"/>
      <c r="CB333" s="173"/>
      <c r="CC333" s="173"/>
      <c r="CD333" s="173"/>
      <c r="CE333" s="173"/>
      <c r="CF333" s="173"/>
      <c r="CG333" s="173"/>
      <c r="CH333" s="173"/>
      <c r="CI333" s="173"/>
      <c r="CJ333" s="173"/>
      <c r="CK333" s="173"/>
      <c r="CL333" s="173"/>
    </row>
    <row r="334" spans="1:90">
      <c r="A334" s="181"/>
      <c r="B334" s="181"/>
      <c r="C334" s="181"/>
      <c r="D334" s="181"/>
      <c r="E334" s="181"/>
      <c r="F334" s="181"/>
      <c r="G334" s="181"/>
      <c r="H334" s="181"/>
      <c r="I334" s="181"/>
      <c r="J334" s="181"/>
      <c r="K334" s="254"/>
      <c r="L334" s="181"/>
      <c r="M334" s="181"/>
      <c r="N334" s="181"/>
      <c r="O334" s="181"/>
      <c r="P334" s="181"/>
      <c r="Q334" s="181"/>
      <c r="R334" s="181"/>
      <c r="S334" s="181"/>
      <c r="T334" s="181"/>
      <c r="U334" s="181"/>
      <c r="V334" s="181"/>
      <c r="W334" s="181"/>
      <c r="X334" s="181"/>
      <c r="Y334" s="181"/>
      <c r="Z334" s="181"/>
      <c r="AA334" s="181"/>
      <c r="AB334" s="181"/>
      <c r="AC334" s="181"/>
      <c r="AD334" s="181"/>
      <c r="AE334" s="181"/>
      <c r="AF334" s="181"/>
      <c r="AG334" s="181"/>
      <c r="AH334" s="181"/>
      <c r="AI334" s="181"/>
      <c r="AJ334" s="181"/>
      <c r="AK334" s="181"/>
      <c r="AL334" s="181"/>
      <c r="AM334" s="181"/>
      <c r="AN334" s="181"/>
      <c r="AO334" s="181"/>
      <c r="AP334" s="181"/>
      <c r="AQ334" s="181"/>
      <c r="AR334" s="181"/>
      <c r="AS334" s="181"/>
      <c r="AT334" s="181"/>
      <c r="AU334" s="181"/>
      <c r="AV334" s="181"/>
      <c r="AW334" s="181"/>
      <c r="AX334" s="181"/>
      <c r="AY334" s="181"/>
      <c r="AZ334" s="181"/>
      <c r="BA334" s="181"/>
      <c r="BB334" s="181"/>
      <c r="BC334" s="173"/>
      <c r="BD334" s="173"/>
      <c r="BE334" s="173"/>
      <c r="BF334" s="173"/>
      <c r="BG334" s="173"/>
      <c r="BH334" s="173"/>
      <c r="BI334" s="173"/>
      <c r="BJ334" s="173"/>
      <c r="BK334" s="173"/>
      <c r="BL334" s="173"/>
      <c r="BM334" s="173"/>
      <c r="BN334" s="181"/>
      <c r="BO334" s="181"/>
      <c r="BP334" s="181"/>
      <c r="BQ334" s="181"/>
      <c r="BR334" s="181"/>
      <c r="BS334" s="181"/>
      <c r="BT334" s="181"/>
      <c r="BU334" s="173"/>
      <c r="BV334" s="173"/>
      <c r="BW334" s="173"/>
      <c r="BX334" s="173"/>
      <c r="BY334" s="173"/>
      <c r="BZ334" s="173"/>
      <c r="CA334" s="173"/>
      <c r="CB334" s="173"/>
      <c r="CC334" s="173"/>
      <c r="CD334" s="173"/>
      <c r="CE334" s="173"/>
      <c r="CF334" s="173"/>
      <c r="CG334" s="173"/>
      <c r="CH334" s="173"/>
      <c r="CI334" s="173"/>
      <c r="CJ334" s="173"/>
      <c r="CK334" s="173"/>
      <c r="CL334" s="173"/>
    </row>
    <row r="335" spans="1:90">
      <c r="A335" s="181"/>
      <c r="B335" s="181"/>
      <c r="C335" s="181"/>
      <c r="D335" s="181"/>
      <c r="E335" s="181"/>
      <c r="F335" s="181"/>
      <c r="G335" s="181"/>
      <c r="H335" s="181"/>
      <c r="I335" s="181"/>
      <c r="J335" s="181"/>
      <c r="K335" s="254"/>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73"/>
      <c r="BD335" s="173"/>
      <c r="BE335" s="173"/>
      <c r="BF335" s="173"/>
      <c r="BG335" s="173"/>
      <c r="BH335" s="173"/>
      <c r="BI335" s="173"/>
      <c r="BJ335" s="173"/>
      <c r="BK335" s="173"/>
      <c r="BL335" s="173"/>
      <c r="BM335" s="173"/>
      <c r="BN335" s="181"/>
      <c r="BO335" s="181"/>
      <c r="BP335" s="181"/>
      <c r="BQ335" s="181"/>
      <c r="BR335" s="181"/>
      <c r="BS335" s="181"/>
      <c r="BT335" s="181"/>
      <c r="BU335" s="173"/>
      <c r="BV335" s="173"/>
      <c r="BW335" s="173"/>
      <c r="BX335" s="173"/>
      <c r="BY335" s="173"/>
      <c r="BZ335" s="173"/>
      <c r="CA335" s="173"/>
      <c r="CB335" s="173"/>
      <c r="CC335" s="173"/>
      <c r="CD335" s="173"/>
      <c r="CE335" s="173"/>
      <c r="CF335" s="173"/>
      <c r="CG335" s="173"/>
      <c r="CH335" s="173"/>
      <c r="CI335" s="173"/>
      <c r="CJ335" s="173"/>
      <c r="CK335" s="173"/>
      <c r="CL335" s="173"/>
    </row>
    <row r="336" spans="1:90">
      <c r="A336" s="181"/>
      <c r="B336" s="181"/>
      <c r="C336" s="181"/>
      <c r="D336" s="181"/>
      <c r="E336" s="181"/>
      <c r="F336" s="181"/>
      <c r="G336" s="181"/>
      <c r="H336" s="181"/>
      <c r="I336" s="181"/>
      <c r="J336" s="181"/>
      <c r="K336" s="254"/>
      <c r="L336" s="181"/>
      <c r="M336" s="181"/>
      <c r="N336" s="181"/>
      <c r="O336" s="181"/>
      <c r="P336" s="181"/>
      <c r="Q336" s="181"/>
      <c r="R336" s="181"/>
      <c r="S336" s="181"/>
      <c r="T336" s="181"/>
      <c r="U336" s="181"/>
      <c r="V336" s="181"/>
      <c r="W336" s="181"/>
      <c r="X336" s="181"/>
      <c r="Y336" s="181"/>
      <c r="Z336" s="181"/>
      <c r="AA336" s="181"/>
      <c r="AB336" s="181"/>
      <c r="AC336" s="181"/>
      <c r="AD336" s="181"/>
      <c r="AE336" s="181"/>
      <c r="AF336" s="181"/>
      <c r="AG336" s="181"/>
      <c r="AH336" s="181"/>
      <c r="AI336" s="181"/>
      <c r="AJ336" s="181"/>
      <c r="AK336" s="181"/>
      <c r="AL336" s="181"/>
      <c r="AM336" s="181"/>
      <c r="AN336" s="181"/>
      <c r="AO336" s="181"/>
      <c r="AP336" s="181"/>
      <c r="AQ336" s="181"/>
      <c r="AR336" s="181"/>
      <c r="AS336" s="181"/>
      <c r="AT336" s="181"/>
      <c r="AU336" s="181"/>
      <c r="AV336" s="181"/>
      <c r="AW336" s="181"/>
      <c r="AX336" s="181"/>
      <c r="AY336" s="181"/>
      <c r="AZ336" s="181"/>
      <c r="BA336" s="181"/>
      <c r="BB336" s="181"/>
      <c r="BC336" s="173"/>
      <c r="BD336" s="173"/>
      <c r="BE336" s="173"/>
      <c r="BF336" s="173"/>
      <c r="BG336" s="173"/>
      <c r="BH336" s="173"/>
      <c r="BI336" s="173"/>
      <c r="BJ336" s="173"/>
      <c r="BK336" s="173"/>
      <c r="BL336" s="173"/>
      <c r="BM336" s="173"/>
      <c r="BN336" s="181"/>
      <c r="BO336" s="181"/>
      <c r="BP336" s="181"/>
      <c r="BQ336" s="181"/>
      <c r="BR336" s="181"/>
      <c r="BS336" s="181"/>
      <c r="BT336" s="181"/>
      <c r="BU336" s="173"/>
      <c r="BV336" s="173"/>
      <c r="BW336" s="173"/>
      <c r="BX336" s="173"/>
      <c r="BY336" s="173"/>
      <c r="BZ336" s="173"/>
      <c r="CA336" s="173"/>
      <c r="CB336" s="173"/>
      <c r="CC336" s="173"/>
      <c r="CD336" s="173"/>
      <c r="CE336" s="173"/>
      <c r="CF336" s="173"/>
      <c r="CG336" s="173"/>
      <c r="CH336" s="173"/>
      <c r="CI336" s="173"/>
      <c r="CJ336" s="173"/>
      <c r="CK336" s="173"/>
      <c r="CL336" s="173"/>
    </row>
    <row r="337" spans="1:90">
      <c r="A337" s="181"/>
      <c r="B337" s="181"/>
      <c r="C337" s="181"/>
      <c r="D337" s="181"/>
      <c r="E337" s="181"/>
      <c r="F337" s="181"/>
      <c r="G337" s="181"/>
      <c r="H337" s="181"/>
      <c r="I337" s="181"/>
      <c r="J337" s="181"/>
      <c r="K337" s="254"/>
      <c r="L337" s="181"/>
      <c r="M337" s="181"/>
      <c r="N337" s="181"/>
      <c r="O337" s="181"/>
      <c r="P337" s="181"/>
      <c r="Q337" s="181"/>
      <c r="R337" s="181"/>
      <c r="S337" s="181"/>
      <c r="T337" s="181"/>
      <c r="U337" s="181"/>
      <c r="V337" s="181"/>
      <c r="W337" s="181"/>
      <c r="X337" s="181"/>
      <c r="Y337" s="181"/>
      <c r="Z337" s="181"/>
      <c r="AA337" s="181"/>
      <c r="AB337" s="181"/>
      <c r="AC337" s="181"/>
      <c r="AD337" s="181"/>
      <c r="AE337" s="181"/>
      <c r="AF337" s="181"/>
      <c r="AG337" s="181"/>
      <c r="AH337" s="181"/>
      <c r="AI337" s="181"/>
      <c r="AJ337" s="181"/>
      <c r="AK337" s="181"/>
      <c r="AL337" s="181"/>
      <c r="AM337" s="181"/>
      <c r="AN337" s="181"/>
      <c r="AO337" s="181"/>
      <c r="AP337" s="181"/>
      <c r="AQ337" s="181"/>
      <c r="AR337" s="181"/>
      <c r="AS337" s="181"/>
      <c r="AT337" s="181"/>
      <c r="AU337" s="181"/>
      <c r="AV337" s="181"/>
      <c r="AW337" s="181"/>
      <c r="AX337" s="181"/>
      <c r="AY337" s="181"/>
      <c r="AZ337" s="181"/>
      <c r="BA337" s="181"/>
      <c r="BB337" s="181"/>
      <c r="BC337" s="173"/>
      <c r="BD337" s="173"/>
      <c r="BE337" s="173"/>
      <c r="BF337" s="173"/>
      <c r="BG337" s="173"/>
      <c r="BH337" s="173"/>
      <c r="BI337" s="173"/>
      <c r="BJ337" s="173"/>
      <c r="BK337" s="173"/>
      <c r="BL337" s="173"/>
      <c r="BM337" s="173"/>
      <c r="BN337" s="181"/>
      <c r="BO337" s="181"/>
      <c r="BP337" s="181"/>
      <c r="BQ337" s="181"/>
      <c r="BR337" s="181"/>
      <c r="BS337" s="181"/>
      <c r="BT337" s="181"/>
      <c r="BU337" s="173"/>
      <c r="BV337" s="173"/>
      <c r="BW337" s="173"/>
      <c r="BX337" s="173"/>
      <c r="BY337" s="173"/>
      <c r="BZ337" s="173"/>
      <c r="CA337" s="173"/>
      <c r="CB337" s="173"/>
      <c r="CC337" s="173"/>
      <c r="CD337" s="173"/>
      <c r="CE337" s="173"/>
      <c r="CF337" s="173"/>
      <c r="CG337" s="173"/>
      <c r="CH337" s="173"/>
      <c r="CI337" s="173"/>
      <c r="CJ337" s="173"/>
      <c r="CK337" s="173"/>
      <c r="CL337" s="173"/>
    </row>
    <row r="338" spans="1:90">
      <c r="A338" s="181"/>
      <c r="B338" s="181"/>
      <c r="C338" s="181"/>
      <c r="D338" s="181"/>
      <c r="E338" s="181"/>
      <c r="F338" s="181"/>
      <c r="G338" s="181"/>
      <c r="H338" s="181"/>
      <c r="I338" s="181"/>
      <c r="J338" s="181"/>
      <c r="K338" s="254"/>
      <c r="L338" s="181"/>
      <c r="M338" s="181"/>
      <c r="N338" s="181"/>
      <c r="O338" s="181"/>
      <c r="P338" s="181"/>
      <c r="Q338" s="181"/>
      <c r="R338" s="181"/>
      <c r="S338" s="181"/>
      <c r="T338" s="181"/>
      <c r="U338" s="181"/>
      <c r="V338" s="181"/>
      <c r="W338" s="181"/>
      <c r="X338" s="181"/>
      <c r="Y338" s="181"/>
      <c r="Z338" s="181"/>
      <c r="AA338" s="181"/>
      <c r="AB338" s="181"/>
      <c r="AC338" s="181"/>
      <c r="AD338" s="181"/>
      <c r="AE338" s="181"/>
      <c r="AF338" s="181"/>
      <c r="AG338" s="181"/>
      <c r="AH338" s="181"/>
      <c r="AI338" s="181"/>
      <c r="AJ338" s="181"/>
      <c r="AK338" s="181"/>
      <c r="AL338" s="181"/>
      <c r="AM338" s="181"/>
      <c r="AN338" s="181"/>
      <c r="AO338" s="181"/>
      <c r="AP338" s="181"/>
      <c r="AQ338" s="181"/>
      <c r="AR338" s="181"/>
      <c r="AS338" s="181"/>
      <c r="AT338" s="181"/>
      <c r="AU338" s="181"/>
      <c r="AV338" s="181"/>
      <c r="AW338" s="181"/>
      <c r="AX338" s="181"/>
      <c r="AY338" s="181"/>
      <c r="AZ338" s="181"/>
      <c r="BA338" s="181"/>
      <c r="BB338" s="181"/>
      <c r="BC338" s="173"/>
      <c r="BD338" s="173"/>
      <c r="BE338" s="173"/>
      <c r="BF338" s="173"/>
      <c r="BG338" s="173"/>
      <c r="BH338" s="173"/>
      <c r="BI338" s="173"/>
      <c r="BJ338" s="173"/>
      <c r="BK338" s="173"/>
      <c r="BL338" s="173"/>
      <c r="BM338" s="173"/>
      <c r="BN338" s="181"/>
      <c r="BO338" s="181"/>
      <c r="BP338" s="181"/>
      <c r="BQ338" s="181"/>
      <c r="BR338" s="181"/>
      <c r="BS338" s="181"/>
      <c r="BT338" s="181"/>
      <c r="BU338" s="173"/>
      <c r="BV338" s="173"/>
      <c r="BW338" s="173"/>
      <c r="BX338" s="173"/>
      <c r="BY338" s="173"/>
      <c r="BZ338" s="173"/>
      <c r="CA338" s="173"/>
      <c r="CB338" s="173"/>
      <c r="CC338" s="173"/>
      <c r="CD338" s="173"/>
      <c r="CE338" s="173"/>
      <c r="CF338" s="173"/>
      <c r="CG338" s="173"/>
      <c r="CH338" s="173"/>
      <c r="CI338" s="173"/>
      <c r="CJ338" s="173"/>
      <c r="CK338" s="173"/>
      <c r="CL338" s="173"/>
    </row>
    <row r="339" spans="1:90">
      <c r="A339" s="181"/>
      <c r="B339" s="181"/>
      <c r="C339" s="181"/>
      <c r="D339" s="181"/>
      <c r="E339" s="181"/>
      <c r="F339" s="181"/>
      <c r="G339" s="181"/>
      <c r="H339" s="181"/>
      <c r="I339" s="181"/>
      <c r="J339" s="181"/>
      <c r="K339" s="254"/>
      <c r="L339" s="181"/>
      <c r="M339" s="181"/>
      <c r="N339" s="181"/>
      <c r="O339" s="181"/>
      <c r="P339" s="181"/>
      <c r="Q339" s="181"/>
      <c r="R339" s="181"/>
      <c r="S339" s="181"/>
      <c r="T339" s="181"/>
      <c r="U339" s="181"/>
      <c r="V339" s="181"/>
      <c r="W339" s="181"/>
      <c r="X339" s="181"/>
      <c r="Y339" s="181"/>
      <c r="Z339" s="181"/>
      <c r="AA339" s="181"/>
      <c r="AB339" s="181"/>
      <c r="AC339" s="181"/>
      <c r="AD339" s="181"/>
      <c r="AE339" s="181"/>
      <c r="AF339" s="181"/>
      <c r="AG339" s="181"/>
      <c r="AH339" s="181"/>
      <c r="AI339" s="181"/>
      <c r="AJ339" s="181"/>
      <c r="AK339" s="181"/>
      <c r="AL339" s="181"/>
      <c r="AM339" s="181"/>
      <c r="AN339" s="181"/>
      <c r="AO339" s="181"/>
      <c r="AP339" s="181"/>
      <c r="AQ339" s="181"/>
      <c r="AR339" s="181"/>
      <c r="AS339" s="181"/>
      <c r="AT339" s="181"/>
      <c r="AU339" s="181"/>
      <c r="AV339" s="181"/>
      <c r="AW339" s="181"/>
      <c r="AX339" s="181"/>
      <c r="AY339" s="181"/>
      <c r="AZ339" s="181"/>
      <c r="BA339" s="181"/>
      <c r="BB339" s="181"/>
      <c r="BC339" s="173"/>
      <c r="BD339" s="173"/>
      <c r="BE339" s="173"/>
      <c r="BF339" s="173"/>
      <c r="BG339" s="173"/>
      <c r="BH339" s="173"/>
      <c r="BI339" s="173"/>
      <c r="BJ339" s="173"/>
      <c r="BK339" s="173"/>
      <c r="BL339" s="173"/>
      <c r="BM339" s="173"/>
      <c r="BN339" s="181"/>
      <c r="BO339" s="181"/>
      <c r="BP339" s="181"/>
      <c r="BQ339" s="181"/>
      <c r="BR339" s="181"/>
      <c r="BS339" s="181"/>
      <c r="BT339" s="181"/>
      <c r="BU339" s="173"/>
      <c r="BV339" s="173"/>
      <c r="BW339" s="173"/>
      <c r="BX339" s="173"/>
      <c r="BY339" s="173"/>
      <c r="BZ339" s="173"/>
      <c r="CA339" s="173"/>
      <c r="CB339" s="173"/>
      <c r="CC339" s="173"/>
      <c r="CD339" s="173"/>
      <c r="CE339" s="173"/>
      <c r="CF339" s="173"/>
      <c r="CG339" s="173"/>
      <c r="CH339" s="173"/>
      <c r="CI339" s="173"/>
      <c r="CJ339" s="173"/>
      <c r="CK339" s="173"/>
      <c r="CL339" s="173"/>
    </row>
    <row r="340" spans="1:90">
      <c r="A340" s="181"/>
      <c r="B340" s="181"/>
      <c r="C340" s="181"/>
      <c r="D340" s="181"/>
      <c r="E340" s="181"/>
      <c r="F340" s="181"/>
      <c r="G340" s="181"/>
      <c r="H340" s="181"/>
      <c r="I340" s="181"/>
      <c r="J340" s="181"/>
      <c r="K340" s="254"/>
      <c r="L340" s="181"/>
      <c r="M340" s="181"/>
      <c r="N340" s="181"/>
      <c r="O340" s="181"/>
      <c r="P340" s="181"/>
      <c r="Q340" s="181"/>
      <c r="R340" s="181"/>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1"/>
      <c r="AN340" s="181"/>
      <c r="AO340" s="181"/>
      <c r="AP340" s="181"/>
      <c r="AQ340" s="181"/>
      <c r="AR340" s="181"/>
      <c r="AS340" s="181"/>
      <c r="AT340" s="181"/>
      <c r="AU340" s="181"/>
      <c r="AV340" s="181"/>
      <c r="AW340" s="181"/>
      <c r="AX340" s="181"/>
      <c r="AY340" s="181"/>
      <c r="AZ340" s="181"/>
      <c r="BA340" s="181"/>
      <c r="BB340" s="181"/>
      <c r="BC340" s="173"/>
      <c r="BD340" s="173"/>
      <c r="BE340" s="173"/>
      <c r="BF340" s="173"/>
      <c r="BG340" s="173"/>
      <c r="BH340" s="173"/>
      <c r="BI340" s="173"/>
      <c r="BJ340" s="173"/>
      <c r="BK340" s="173"/>
      <c r="BL340" s="173"/>
      <c r="BM340" s="173"/>
      <c r="BN340" s="181"/>
      <c r="BO340" s="181"/>
      <c r="BP340" s="181"/>
      <c r="BQ340" s="181"/>
      <c r="BR340" s="181"/>
      <c r="BS340" s="181"/>
      <c r="BT340" s="181"/>
      <c r="BU340" s="173"/>
      <c r="BV340" s="173"/>
      <c r="BW340" s="173"/>
      <c r="BX340" s="173"/>
      <c r="BY340" s="173"/>
      <c r="BZ340" s="173"/>
      <c r="CA340" s="173"/>
      <c r="CB340" s="173"/>
      <c r="CC340" s="173"/>
      <c r="CD340" s="173"/>
      <c r="CE340" s="173"/>
      <c r="CF340" s="173"/>
      <c r="CG340" s="173"/>
      <c r="CH340" s="173"/>
      <c r="CI340" s="173"/>
      <c r="CJ340" s="173"/>
      <c r="CK340" s="173"/>
      <c r="CL340" s="173"/>
    </row>
    <row r="341" spans="1:90">
      <c r="A341" s="181"/>
      <c r="B341" s="181"/>
      <c r="C341" s="181"/>
      <c r="D341" s="181"/>
      <c r="E341" s="181"/>
      <c r="F341" s="181"/>
      <c r="G341" s="181"/>
      <c r="H341" s="181"/>
      <c r="I341" s="181"/>
      <c r="J341" s="181"/>
      <c r="K341" s="254"/>
      <c r="L341" s="181"/>
      <c r="M341" s="181"/>
      <c r="N341" s="181"/>
      <c r="O341" s="181"/>
      <c r="P341" s="181"/>
      <c r="Q341" s="181"/>
      <c r="R341" s="181"/>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1"/>
      <c r="AN341" s="181"/>
      <c r="AO341" s="181"/>
      <c r="AP341" s="181"/>
      <c r="AQ341" s="181"/>
      <c r="AR341" s="181"/>
      <c r="AS341" s="181"/>
      <c r="AT341" s="181"/>
      <c r="AU341" s="181"/>
      <c r="AV341" s="181"/>
      <c r="AW341" s="181"/>
      <c r="AX341" s="181"/>
      <c r="AY341" s="181"/>
      <c r="AZ341" s="181"/>
      <c r="BA341" s="181"/>
      <c r="BB341" s="181"/>
      <c r="BC341" s="173"/>
      <c r="BD341" s="173"/>
      <c r="BE341" s="173"/>
      <c r="BF341" s="173"/>
      <c r="BG341" s="173"/>
      <c r="BH341" s="173"/>
      <c r="BI341" s="173"/>
      <c r="BJ341" s="173"/>
      <c r="BK341" s="173"/>
      <c r="BL341" s="173"/>
      <c r="BM341" s="173"/>
      <c r="BN341" s="181"/>
      <c r="BO341" s="181"/>
      <c r="BP341" s="181"/>
      <c r="BQ341" s="181"/>
      <c r="BR341" s="181"/>
      <c r="BS341" s="181"/>
      <c r="BT341" s="181"/>
      <c r="BU341" s="173"/>
      <c r="BV341" s="173"/>
      <c r="BW341" s="173"/>
      <c r="BX341" s="173"/>
      <c r="BY341" s="173"/>
      <c r="BZ341" s="173"/>
      <c r="CA341" s="173"/>
      <c r="CB341" s="173"/>
      <c r="CC341" s="173"/>
      <c r="CD341" s="173"/>
      <c r="CE341" s="173"/>
      <c r="CF341" s="173"/>
      <c r="CG341" s="173"/>
      <c r="CH341" s="173"/>
      <c r="CI341" s="173"/>
      <c r="CJ341" s="173"/>
      <c r="CK341" s="173"/>
      <c r="CL341" s="173"/>
    </row>
    <row r="342" spans="1:90">
      <c r="A342" s="181"/>
      <c r="B342" s="181"/>
      <c r="C342" s="181"/>
      <c r="D342" s="181"/>
      <c r="E342" s="181"/>
      <c r="F342" s="181"/>
      <c r="G342" s="181"/>
      <c r="H342" s="181"/>
      <c r="I342" s="181"/>
      <c r="J342" s="181"/>
      <c r="K342" s="254"/>
      <c r="L342" s="181"/>
      <c r="M342" s="181"/>
      <c r="N342" s="181"/>
      <c r="O342" s="181"/>
      <c r="P342" s="181"/>
      <c r="Q342" s="181"/>
      <c r="R342" s="181"/>
      <c r="S342" s="181"/>
      <c r="T342" s="181"/>
      <c r="U342" s="181"/>
      <c r="V342" s="181"/>
      <c r="W342" s="181"/>
      <c r="X342" s="181"/>
      <c r="Y342" s="181"/>
      <c r="Z342" s="181"/>
      <c r="AA342" s="181"/>
      <c r="AB342" s="181"/>
      <c r="AC342" s="181"/>
      <c r="AD342" s="181"/>
      <c r="AE342" s="181"/>
      <c r="AF342" s="181"/>
      <c r="AG342" s="181"/>
      <c r="AH342" s="181"/>
      <c r="AI342" s="181"/>
      <c r="AJ342" s="181"/>
      <c r="AK342" s="181"/>
      <c r="AL342" s="181"/>
      <c r="AM342" s="181"/>
      <c r="AN342" s="181"/>
      <c r="AO342" s="181"/>
      <c r="AP342" s="181"/>
      <c r="AQ342" s="181"/>
      <c r="AR342" s="181"/>
      <c r="AS342" s="181"/>
      <c r="AT342" s="181"/>
      <c r="AU342" s="181"/>
      <c r="AV342" s="181"/>
      <c r="AW342" s="181"/>
      <c r="AX342" s="181"/>
      <c r="AY342" s="181"/>
      <c r="AZ342" s="181"/>
      <c r="BA342" s="181"/>
      <c r="BB342" s="181"/>
      <c r="BC342" s="173"/>
      <c r="BD342" s="173"/>
      <c r="BE342" s="173"/>
      <c r="BF342" s="173"/>
      <c r="BG342" s="173"/>
      <c r="BH342" s="173"/>
      <c r="BI342" s="173"/>
      <c r="BJ342" s="173"/>
      <c r="BK342" s="173"/>
      <c r="BL342" s="173"/>
      <c r="BM342" s="173"/>
      <c r="BN342" s="181"/>
      <c r="BO342" s="181"/>
      <c r="BP342" s="181"/>
      <c r="BQ342" s="181"/>
      <c r="BR342" s="181"/>
      <c r="BS342" s="181"/>
      <c r="BT342" s="181"/>
      <c r="BU342" s="173"/>
      <c r="BV342" s="173"/>
      <c r="BW342" s="173"/>
      <c r="BX342" s="173"/>
      <c r="BY342" s="173"/>
      <c r="BZ342" s="173"/>
      <c r="CA342" s="173"/>
      <c r="CB342" s="173"/>
      <c r="CC342" s="173"/>
      <c r="CD342" s="173"/>
      <c r="CE342" s="173"/>
      <c r="CF342" s="173"/>
      <c r="CG342" s="173"/>
      <c r="CH342" s="173"/>
      <c r="CI342" s="173"/>
      <c r="CJ342" s="173"/>
      <c r="CK342" s="173"/>
      <c r="CL342" s="173"/>
    </row>
    <row r="343" spans="1:90">
      <c r="A343" s="181"/>
      <c r="B343" s="181"/>
      <c r="C343" s="181"/>
      <c r="D343" s="181"/>
      <c r="E343" s="181"/>
      <c r="F343" s="181"/>
      <c r="G343" s="181"/>
      <c r="H343" s="181"/>
      <c r="I343" s="181"/>
      <c r="J343" s="181"/>
      <c r="K343" s="254"/>
      <c r="L343" s="181"/>
      <c r="M343" s="181"/>
      <c r="N343" s="181"/>
      <c r="O343" s="181"/>
      <c r="P343" s="181"/>
      <c r="Q343" s="181"/>
      <c r="R343" s="181"/>
      <c r="S343" s="181"/>
      <c r="T343" s="181"/>
      <c r="U343" s="181"/>
      <c r="V343" s="181"/>
      <c r="W343" s="181"/>
      <c r="X343" s="181"/>
      <c r="Y343" s="181"/>
      <c r="Z343" s="181"/>
      <c r="AA343" s="181"/>
      <c r="AB343" s="181"/>
      <c r="AC343" s="181"/>
      <c r="AD343" s="181"/>
      <c r="AE343" s="181"/>
      <c r="AF343" s="181"/>
      <c r="AG343" s="181"/>
      <c r="AH343" s="181"/>
      <c r="AI343" s="181"/>
      <c r="AJ343" s="181"/>
      <c r="AK343" s="181"/>
      <c r="AL343" s="181"/>
      <c r="AM343" s="181"/>
      <c r="AN343" s="181"/>
      <c r="AO343" s="181"/>
      <c r="AP343" s="181"/>
      <c r="AQ343" s="181"/>
      <c r="AR343" s="181"/>
      <c r="AS343" s="181"/>
      <c r="AT343" s="181"/>
      <c r="AU343" s="181"/>
      <c r="AV343" s="181"/>
      <c r="AW343" s="181"/>
      <c r="AX343" s="181"/>
      <c r="AY343" s="181"/>
      <c r="AZ343" s="181"/>
      <c r="BA343" s="181"/>
      <c r="BB343" s="181"/>
      <c r="BC343" s="173"/>
      <c r="BD343" s="173"/>
      <c r="BE343" s="173"/>
      <c r="BF343" s="173"/>
      <c r="BG343" s="173"/>
      <c r="BH343" s="173"/>
      <c r="BI343" s="173"/>
      <c r="BJ343" s="173"/>
      <c r="BK343" s="173"/>
      <c r="BL343" s="173"/>
      <c r="BM343" s="173"/>
      <c r="BN343" s="181"/>
      <c r="BO343" s="181"/>
      <c r="BP343" s="181"/>
      <c r="BQ343" s="181"/>
      <c r="BR343" s="181"/>
      <c r="BS343" s="181"/>
      <c r="BT343" s="181"/>
      <c r="BU343" s="173"/>
      <c r="BV343" s="173"/>
      <c r="BW343" s="173"/>
      <c r="BX343" s="173"/>
      <c r="BY343" s="173"/>
      <c r="BZ343" s="173"/>
      <c r="CA343" s="173"/>
      <c r="CB343" s="173"/>
      <c r="CC343" s="173"/>
      <c r="CD343" s="173"/>
      <c r="CE343" s="173"/>
      <c r="CF343" s="173"/>
      <c r="CG343" s="173"/>
      <c r="CH343" s="173"/>
      <c r="CI343" s="173"/>
      <c r="CJ343" s="173"/>
      <c r="CK343" s="173"/>
      <c r="CL343" s="173"/>
    </row>
    <row r="344" spans="1:90">
      <c r="A344" s="181"/>
      <c r="B344" s="181"/>
      <c r="C344" s="181"/>
      <c r="D344" s="181"/>
      <c r="E344" s="181"/>
      <c r="F344" s="181"/>
      <c r="G344" s="181"/>
      <c r="H344" s="181"/>
      <c r="I344" s="181"/>
      <c r="J344" s="181"/>
      <c r="K344" s="254"/>
      <c r="L344" s="181"/>
      <c r="M344" s="181"/>
      <c r="N344" s="181"/>
      <c r="O344" s="181"/>
      <c r="P344" s="181"/>
      <c r="Q344" s="181"/>
      <c r="R344" s="181"/>
      <c r="S344" s="181"/>
      <c r="T344" s="181"/>
      <c r="U344" s="181"/>
      <c r="V344" s="181"/>
      <c r="W344" s="181"/>
      <c r="X344" s="181"/>
      <c r="Y344" s="181"/>
      <c r="Z344" s="181"/>
      <c r="AA344" s="181"/>
      <c r="AB344" s="181"/>
      <c r="AC344" s="181"/>
      <c r="AD344" s="181"/>
      <c r="AE344" s="181"/>
      <c r="AF344" s="181"/>
      <c r="AG344" s="181"/>
      <c r="AH344" s="181"/>
      <c r="AI344" s="181"/>
      <c r="AJ344" s="181"/>
      <c r="AK344" s="181"/>
      <c r="AL344" s="181"/>
      <c r="AM344" s="181"/>
      <c r="AN344" s="181"/>
      <c r="AO344" s="181"/>
      <c r="AP344" s="181"/>
      <c r="AQ344" s="181"/>
      <c r="AR344" s="181"/>
      <c r="AS344" s="181"/>
      <c r="AT344" s="181"/>
      <c r="AU344" s="181"/>
      <c r="AV344" s="181"/>
      <c r="AW344" s="181"/>
      <c r="AX344" s="181"/>
      <c r="AY344" s="181"/>
      <c r="AZ344" s="181"/>
      <c r="BA344" s="181"/>
      <c r="BB344" s="181"/>
      <c r="BC344" s="173"/>
      <c r="BD344" s="173"/>
      <c r="BE344" s="173"/>
      <c r="BF344" s="173"/>
      <c r="BG344" s="173"/>
      <c r="BH344" s="173"/>
      <c r="BI344" s="173"/>
      <c r="BJ344" s="173"/>
      <c r="BK344" s="173"/>
      <c r="BL344" s="173"/>
      <c r="BM344" s="173"/>
      <c r="BN344" s="181"/>
      <c r="BO344" s="181"/>
      <c r="BP344" s="181"/>
      <c r="BQ344" s="181"/>
      <c r="BR344" s="181"/>
      <c r="BS344" s="181"/>
      <c r="BT344" s="181"/>
      <c r="BU344" s="173"/>
      <c r="BV344" s="173"/>
      <c r="BW344" s="173"/>
      <c r="BX344" s="173"/>
      <c r="BY344" s="173"/>
      <c r="BZ344" s="173"/>
      <c r="CA344" s="173"/>
      <c r="CB344" s="173"/>
      <c r="CC344" s="173"/>
      <c r="CD344" s="173"/>
      <c r="CE344" s="173"/>
      <c r="CF344" s="173"/>
      <c r="CG344" s="173"/>
      <c r="CH344" s="173"/>
      <c r="CI344" s="173"/>
      <c r="CJ344" s="173"/>
      <c r="CK344" s="173"/>
      <c r="CL344" s="173"/>
    </row>
    <row r="345" spans="1:90">
      <c r="A345" s="181"/>
      <c r="B345" s="181"/>
      <c r="C345" s="181"/>
      <c r="D345" s="181"/>
      <c r="E345" s="181"/>
      <c r="F345" s="181"/>
      <c r="G345" s="181"/>
      <c r="H345" s="181"/>
      <c r="I345" s="181"/>
      <c r="J345" s="181"/>
      <c r="K345" s="254"/>
      <c r="L345" s="181"/>
      <c r="M345" s="181"/>
      <c r="N345" s="181"/>
      <c r="O345" s="181"/>
      <c r="P345" s="181"/>
      <c r="Q345" s="181"/>
      <c r="R345" s="181"/>
      <c r="S345" s="181"/>
      <c r="T345" s="181"/>
      <c r="U345" s="181"/>
      <c r="V345" s="181"/>
      <c r="W345" s="181"/>
      <c r="X345" s="181"/>
      <c r="Y345" s="181"/>
      <c r="Z345" s="181"/>
      <c r="AA345" s="181"/>
      <c r="AB345" s="181"/>
      <c r="AC345" s="181"/>
      <c r="AD345" s="181"/>
      <c r="AE345" s="181"/>
      <c r="AF345" s="181"/>
      <c r="AG345" s="181"/>
      <c r="AH345" s="181"/>
      <c r="AI345" s="181"/>
      <c r="AJ345" s="181"/>
      <c r="AK345" s="181"/>
      <c r="AL345" s="181"/>
      <c r="AM345" s="181"/>
      <c r="AN345" s="181"/>
      <c r="AO345" s="181"/>
      <c r="AP345" s="181"/>
      <c r="AQ345" s="181"/>
      <c r="AR345" s="181"/>
      <c r="AS345" s="181"/>
      <c r="AT345" s="181"/>
      <c r="AU345" s="181"/>
      <c r="AV345" s="181"/>
      <c r="AW345" s="181"/>
      <c r="AX345" s="181"/>
      <c r="AY345" s="181"/>
      <c r="AZ345" s="181"/>
      <c r="BA345" s="181"/>
      <c r="BB345" s="181"/>
      <c r="BC345" s="173"/>
      <c r="BD345" s="173"/>
      <c r="BE345" s="173"/>
      <c r="BF345" s="173"/>
      <c r="BG345" s="173"/>
      <c r="BH345" s="173"/>
      <c r="BI345" s="173"/>
      <c r="BJ345" s="173"/>
      <c r="BK345" s="173"/>
      <c r="BL345" s="173"/>
      <c r="BM345" s="173"/>
      <c r="BN345" s="181"/>
      <c r="BO345" s="181"/>
      <c r="BP345" s="181"/>
      <c r="BQ345" s="181"/>
      <c r="BR345" s="181"/>
      <c r="BS345" s="181"/>
      <c r="BT345" s="181"/>
      <c r="BU345" s="173"/>
      <c r="BV345" s="173"/>
      <c r="BW345" s="173"/>
      <c r="BX345" s="173"/>
      <c r="BY345" s="173"/>
      <c r="BZ345" s="173"/>
      <c r="CA345" s="173"/>
      <c r="CB345" s="173"/>
      <c r="CC345" s="173"/>
      <c r="CD345" s="173"/>
      <c r="CE345" s="173"/>
      <c r="CF345" s="173"/>
      <c r="CG345" s="173"/>
      <c r="CH345" s="173"/>
      <c r="CI345" s="173"/>
      <c r="CJ345" s="173"/>
      <c r="CK345" s="173"/>
      <c r="CL345" s="173"/>
    </row>
    <row r="346" spans="1:90">
      <c r="A346" s="181"/>
      <c r="B346" s="181"/>
      <c r="C346" s="181"/>
      <c r="D346" s="181"/>
      <c r="E346" s="181"/>
      <c r="F346" s="181"/>
      <c r="G346" s="181"/>
      <c r="H346" s="181"/>
      <c r="I346" s="181"/>
      <c r="J346" s="181"/>
      <c r="K346" s="254"/>
      <c r="L346" s="181"/>
      <c r="M346" s="181"/>
      <c r="N346" s="181"/>
      <c r="O346" s="181"/>
      <c r="P346" s="181"/>
      <c r="Q346" s="181"/>
      <c r="R346" s="181"/>
      <c r="S346" s="181"/>
      <c r="T346" s="181"/>
      <c r="U346" s="181"/>
      <c r="V346" s="181"/>
      <c r="W346" s="181"/>
      <c r="X346" s="181"/>
      <c r="Y346" s="181"/>
      <c r="Z346" s="181"/>
      <c r="AA346" s="181"/>
      <c r="AB346" s="181"/>
      <c r="AC346" s="181"/>
      <c r="AD346" s="181"/>
      <c r="AE346" s="181"/>
      <c r="AF346" s="181"/>
      <c r="AG346" s="181"/>
      <c r="AH346" s="181"/>
      <c r="AI346" s="181"/>
      <c r="AJ346" s="181"/>
      <c r="AK346" s="181"/>
      <c r="AL346" s="181"/>
      <c r="AM346" s="181"/>
      <c r="AN346" s="181"/>
      <c r="AO346" s="181"/>
      <c r="AP346" s="181"/>
      <c r="AQ346" s="181"/>
      <c r="AR346" s="181"/>
      <c r="AS346" s="181"/>
      <c r="AT346" s="181"/>
      <c r="AU346" s="181"/>
      <c r="AV346" s="181"/>
      <c r="AW346" s="181"/>
      <c r="AX346" s="181"/>
      <c r="AY346" s="181"/>
      <c r="AZ346" s="181"/>
      <c r="BA346" s="181"/>
      <c r="BB346" s="181"/>
      <c r="BC346" s="173"/>
      <c r="BD346" s="173"/>
      <c r="BE346" s="173"/>
      <c r="BF346" s="173"/>
      <c r="BG346" s="173"/>
      <c r="BH346" s="173"/>
      <c r="BI346" s="173"/>
      <c r="BJ346" s="173"/>
      <c r="BK346" s="173"/>
      <c r="BL346" s="173"/>
      <c r="BM346" s="173"/>
      <c r="BN346" s="181"/>
      <c r="BO346" s="181"/>
      <c r="BP346" s="181"/>
      <c r="BQ346" s="181"/>
      <c r="BR346" s="181"/>
      <c r="BS346" s="181"/>
      <c r="BT346" s="181"/>
      <c r="BU346" s="173"/>
      <c r="BV346" s="173"/>
      <c r="BW346" s="173"/>
      <c r="BX346" s="173"/>
      <c r="BY346" s="173"/>
      <c r="BZ346" s="173"/>
      <c r="CA346" s="173"/>
      <c r="CB346" s="173"/>
      <c r="CC346" s="173"/>
      <c r="CD346" s="173"/>
      <c r="CE346" s="173"/>
      <c r="CF346" s="173"/>
      <c r="CG346" s="173"/>
      <c r="CH346" s="173"/>
      <c r="CI346" s="173"/>
      <c r="CJ346" s="173"/>
      <c r="CK346" s="173"/>
      <c r="CL346" s="173"/>
    </row>
    <row r="347" spans="1:90">
      <c r="A347" s="181"/>
      <c r="B347" s="181"/>
      <c r="C347" s="181"/>
      <c r="D347" s="181"/>
      <c r="E347" s="181"/>
      <c r="F347" s="181"/>
      <c r="G347" s="181"/>
      <c r="H347" s="181"/>
      <c r="I347" s="181"/>
      <c r="J347" s="181"/>
      <c r="K347" s="254"/>
      <c r="L347" s="181"/>
      <c r="M347" s="181"/>
      <c r="N347" s="181"/>
      <c r="O347" s="181"/>
      <c r="P347" s="181"/>
      <c r="Q347" s="181"/>
      <c r="R347" s="181"/>
      <c r="S347" s="181"/>
      <c r="T347" s="181"/>
      <c r="U347" s="181"/>
      <c r="V347" s="181"/>
      <c r="W347" s="181"/>
      <c r="X347" s="181"/>
      <c r="Y347" s="181"/>
      <c r="Z347" s="181"/>
      <c r="AA347" s="181"/>
      <c r="AB347" s="181"/>
      <c r="AC347" s="181"/>
      <c r="AD347" s="181"/>
      <c r="AE347" s="181"/>
      <c r="AF347" s="181"/>
      <c r="AG347" s="181"/>
      <c r="AH347" s="181"/>
      <c r="AI347" s="181"/>
      <c r="AJ347" s="181"/>
      <c r="AK347" s="181"/>
      <c r="AL347" s="181"/>
      <c r="AM347" s="181"/>
      <c r="AN347" s="181"/>
      <c r="AO347" s="181"/>
      <c r="AP347" s="181"/>
      <c r="AQ347" s="181"/>
      <c r="AR347" s="181"/>
      <c r="AS347" s="181"/>
      <c r="AT347" s="181"/>
      <c r="AU347" s="181"/>
      <c r="AV347" s="181"/>
      <c r="AW347" s="181"/>
      <c r="AX347" s="181"/>
      <c r="AY347" s="181"/>
      <c r="AZ347" s="181"/>
      <c r="BA347" s="181"/>
      <c r="BB347" s="181"/>
      <c r="BC347" s="173"/>
      <c r="BD347" s="173"/>
      <c r="BE347" s="173"/>
      <c r="BF347" s="173"/>
      <c r="BG347" s="173"/>
      <c r="BH347" s="173"/>
      <c r="BI347" s="173"/>
      <c r="BJ347" s="173"/>
      <c r="BK347" s="173"/>
      <c r="BL347" s="173"/>
      <c r="BM347" s="173"/>
      <c r="BN347" s="181"/>
      <c r="BO347" s="181"/>
      <c r="BP347" s="181"/>
      <c r="BQ347" s="181"/>
      <c r="BR347" s="181"/>
      <c r="BS347" s="181"/>
      <c r="BT347" s="181"/>
      <c r="BU347" s="173"/>
      <c r="BV347" s="173"/>
      <c r="BW347" s="173"/>
      <c r="BX347" s="173"/>
      <c r="BY347" s="173"/>
      <c r="BZ347" s="173"/>
      <c r="CA347" s="173"/>
      <c r="CB347" s="173"/>
      <c r="CC347" s="173"/>
      <c r="CD347" s="173"/>
      <c r="CE347" s="173"/>
      <c r="CF347" s="173"/>
      <c r="CG347" s="173"/>
      <c r="CH347" s="173"/>
      <c r="CI347" s="173"/>
      <c r="CJ347" s="173"/>
      <c r="CK347" s="173"/>
      <c r="CL347" s="173"/>
    </row>
    <row r="348" spans="1:90">
      <c r="A348" s="181"/>
      <c r="B348" s="181"/>
      <c r="C348" s="181"/>
      <c r="D348" s="181"/>
      <c r="E348" s="181"/>
      <c r="F348" s="181"/>
      <c r="G348" s="181"/>
      <c r="H348" s="181"/>
      <c r="I348" s="181"/>
      <c r="J348" s="181"/>
      <c r="K348" s="254"/>
      <c r="L348" s="181"/>
      <c r="M348" s="181"/>
      <c r="N348" s="181"/>
      <c r="O348" s="181"/>
      <c r="P348" s="181"/>
      <c r="Q348" s="181"/>
      <c r="R348" s="181"/>
      <c r="S348" s="181"/>
      <c r="T348" s="181"/>
      <c r="U348" s="181"/>
      <c r="V348" s="181"/>
      <c r="W348" s="181"/>
      <c r="X348" s="181"/>
      <c r="Y348" s="181"/>
      <c r="Z348" s="181"/>
      <c r="AA348" s="181"/>
      <c r="AB348" s="181"/>
      <c r="AC348" s="181"/>
      <c r="AD348" s="181"/>
      <c r="AE348" s="181"/>
      <c r="AF348" s="181"/>
      <c r="AG348" s="181"/>
      <c r="AH348" s="181"/>
      <c r="AI348" s="181"/>
      <c r="AJ348" s="181"/>
      <c r="AK348" s="181"/>
      <c r="AL348" s="181"/>
      <c r="AM348" s="181"/>
      <c r="AN348" s="181"/>
      <c r="AO348" s="181"/>
      <c r="AP348" s="181"/>
      <c r="AQ348" s="181"/>
      <c r="AR348" s="181"/>
      <c r="AS348" s="181"/>
      <c r="AT348" s="181"/>
      <c r="AU348" s="181"/>
      <c r="AV348" s="181"/>
      <c r="AW348" s="181"/>
      <c r="AX348" s="181"/>
      <c r="AY348" s="181"/>
      <c r="AZ348" s="181"/>
      <c r="BA348" s="181"/>
      <c r="BB348" s="181"/>
      <c r="BC348" s="173"/>
      <c r="BD348" s="173"/>
      <c r="BE348" s="173"/>
      <c r="BF348" s="173"/>
      <c r="BG348" s="173"/>
      <c r="BH348" s="173"/>
      <c r="BI348" s="173"/>
      <c r="BJ348" s="173"/>
      <c r="BK348" s="173"/>
      <c r="BL348" s="173"/>
      <c r="BM348" s="173"/>
      <c r="BN348" s="181"/>
      <c r="BO348" s="181"/>
      <c r="BP348" s="181"/>
      <c r="BQ348" s="181"/>
      <c r="BR348" s="181"/>
      <c r="BS348" s="181"/>
      <c r="BT348" s="181"/>
      <c r="BU348" s="173"/>
      <c r="BV348" s="173"/>
      <c r="BW348" s="173"/>
      <c r="BX348" s="173"/>
      <c r="BY348" s="173"/>
      <c r="BZ348" s="173"/>
      <c r="CA348" s="173"/>
      <c r="CB348" s="173"/>
      <c r="CC348" s="173"/>
      <c r="CD348" s="173"/>
      <c r="CE348" s="173"/>
      <c r="CF348" s="173"/>
      <c r="CG348" s="173"/>
      <c r="CH348" s="173"/>
      <c r="CI348" s="173"/>
      <c r="CJ348" s="173"/>
      <c r="CK348" s="173"/>
      <c r="CL348" s="173"/>
    </row>
    <row r="349" spans="1:90">
      <c r="A349" s="181"/>
      <c r="B349" s="181"/>
      <c r="C349" s="181"/>
      <c r="D349" s="181"/>
      <c r="E349" s="181"/>
      <c r="F349" s="181"/>
      <c r="G349" s="181"/>
      <c r="H349" s="181"/>
      <c r="I349" s="181"/>
      <c r="J349" s="181"/>
      <c r="K349" s="254"/>
      <c r="L349" s="181"/>
      <c r="M349" s="181"/>
      <c r="N349" s="181"/>
      <c r="O349" s="181"/>
      <c r="P349" s="181"/>
      <c r="Q349" s="181"/>
      <c r="R349" s="181"/>
      <c r="S349" s="181"/>
      <c r="T349" s="181"/>
      <c r="U349" s="181"/>
      <c r="V349" s="181"/>
      <c r="W349" s="181"/>
      <c r="X349" s="181"/>
      <c r="Y349" s="181"/>
      <c r="Z349" s="181"/>
      <c r="AA349" s="181"/>
      <c r="AB349" s="181"/>
      <c r="AC349" s="181"/>
      <c r="AD349" s="181"/>
      <c r="AE349" s="181"/>
      <c r="AF349" s="181"/>
      <c r="AG349" s="181"/>
      <c r="AH349" s="181"/>
      <c r="AI349" s="181"/>
      <c r="AJ349" s="181"/>
      <c r="AK349" s="181"/>
      <c r="AL349" s="181"/>
      <c r="AM349" s="181"/>
      <c r="AN349" s="181"/>
      <c r="AO349" s="181"/>
      <c r="AP349" s="181"/>
      <c r="AQ349" s="181"/>
      <c r="AR349" s="181"/>
      <c r="AS349" s="181"/>
      <c r="AT349" s="181"/>
      <c r="AU349" s="181"/>
      <c r="AV349" s="181"/>
      <c r="AW349" s="181"/>
      <c r="AX349" s="181"/>
      <c r="AY349" s="181"/>
      <c r="AZ349" s="181"/>
      <c r="BA349" s="181"/>
      <c r="BB349" s="181"/>
      <c r="BC349" s="173"/>
      <c r="BD349" s="173"/>
      <c r="BE349" s="173"/>
      <c r="BF349" s="173"/>
      <c r="BG349" s="173"/>
      <c r="BH349" s="173"/>
      <c r="BI349" s="173"/>
      <c r="BJ349" s="173"/>
      <c r="BK349" s="173"/>
      <c r="BL349" s="173"/>
      <c r="BM349" s="173"/>
      <c r="BN349" s="181"/>
      <c r="BO349" s="181"/>
      <c r="BP349" s="181"/>
      <c r="BQ349" s="181"/>
      <c r="BR349" s="181"/>
      <c r="BS349" s="181"/>
      <c r="BT349" s="181"/>
      <c r="BU349" s="173"/>
      <c r="BV349" s="173"/>
      <c r="BW349" s="173"/>
      <c r="BX349" s="173"/>
      <c r="BY349" s="173"/>
      <c r="BZ349" s="173"/>
      <c r="CA349" s="173"/>
      <c r="CB349" s="173"/>
      <c r="CC349" s="173"/>
      <c r="CD349" s="173"/>
      <c r="CE349" s="173"/>
      <c r="CF349" s="173"/>
      <c r="CG349" s="173"/>
      <c r="CH349" s="173"/>
      <c r="CI349" s="173"/>
      <c r="CJ349" s="173"/>
      <c r="CK349" s="173"/>
      <c r="CL349" s="173"/>
    </row>
    <row r="350" spans="1:90">
      <c r="A350" s="181"/>
      <c r="B350" s="181"/>
      <c r="C350" s="181"/>
      <c r="D350" s="181"/>
      <c r="E350" s="181"/>
      <c r="F350" s="181"/>
      <c r="G350" s="181"/>
      <c r="H350" s="181"/>
      <c r="I350" s="181"/>
      <c r="J350" s="181"/>
      <c r="K350" s="254"/>
      <c r="L350" s="181"/>
      <c r="M350" s="181"/>
      <c r="N350" s="181"/>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81"/>
      <c r="AJ350" s="181"/>
      <c r="AK350" s="181"/>
      <c r="AL350" s="181"/>
      <c r="AM350" s="181"/>
      <c r="AN350" s="181"/>
      <c r="AO350" s="181"/>
      <c r="AP350" s="181"/>
      <c r="AQ350" s="181"/>
      <c r="AR350" s="181"/>
      <c r="AS350" s="181"/>
      <c r="AT350" s="181"/>
      <c r="AU350" s="181"/>
      <c r="AV350" s="181"/>
      <c r="AW350" s="181"/>
      <c r="AX350" s="181"/>
      <c r="AY350" s="181"/>
      <c r="AZ350" s="181"/>
      <c r="BA350" s="181"/>
      <c r="BB350" s="181"/>
      <c r="BC350" s="173"/>
      <c r="BD350" s="173"/>
      <c r="BE350" s="173"/>
      <c r="BF350" s="173"/>
      <c r="BG350" s="173"/>
      <c r="BH350" s="173"/>
      <c r="BI350" s="173"/>
      <c r="BJ350" s="173"/>
      <c r="BK350" s="173"/>
      <c r="BL350" s="173"/>
      <c r="BM350" s="173"/>
      <c r="BN350" s="181"/>
      <c r="BO350" s="181"/>
      <c r="BP350" s="181"/>
      <c r="BQ350" s="181"/>
      <c r="BR350" s="181"/>
      <c r="BS350" s="181"/>
      <c r="BT350" s="181"/>
      <c r="BU350" s="173"/>
      <c r="BV350" s="173"/>
      <c r="BW350" s="173"/>
      <c r="BX350" s="173"/>
      <c r="BY350" s="173"/>
      <c r="BZ350" s="173"/>
      <c r="CA350" s="173"/>
      <c r="CB350" s="173"/>
      <c r="CC350" s="173"/>
      <c r="CD350" s="173"/>
      <c r="CE350" s="173"/>
      <c r="CF350" s="173"/>
      <c r="CG350" s="173"/>
      <c r="CH350" s="173"/>
      <c r="CI350" s="173"/>
      <c r="CJ350" s="173"/>
      <c r="CK350" s="173"/>
      <c r="CL350" s="173"/>
    </row>
    <row r="351" spans="1:90">
      <c r="A351" s="181"/>
      <c r="B351" s="181"/>
      <c r="C351" s="181"/>
      <c r="D351" s="181"/>
      <c r="E351" s="181"/>
      <c r="F351" s="181"/>
      <c r="G351" s="181"/>
      <c r="H351" s="181"/>
      <c r="I351" s="181"/>
      <c r="J351" s="181"/>
      <c r="K351" s="254"/>
      <c r="L351" s="181"/>
      <c r="M351" s="181"/>
      <c r="N351" s="181"/>
      <c r="O351" s="181"/>
      <c r="P351" s="181"/>
      <c r="Q351" s="181"/>
      <c r="R351" s="181"/>
      <c r="S351" s="181"/>
      <c r="T351" s="181"/>
      <c r="U351" s="181"/>
      <c r="V351" s="181"/>
      <c r="W351" s="181"/>
      <c r="X351" s="181"/>
      <c r="Y351" s="181"/>
      <c r="Z351" s="181"/>
      <c r="AA351" s="181"/>
      <c r="AB351" s="181"/>
      <c r="AC351" s="181"/>
      <c r="AD351" s="181"/>
      <c r="AE351" s="181"/>
      <c r="AF351" s="181"/>
      <c r="AG351" s="181"/>
      <c r="AH351" s="181"/>
      <c r="AI351" s="181"/>
      <c r="AJ351" s="181"/>
      <c r="AK351" s="181"/>
      <c r="AL351" s="181"/>
      <c r="AM351" s="181"/>
      <c r="AN351" s="181"/>
      <c r="AO351" s="181"/>
      <c r="AP351" s="181"/>
      <c r="AQ351" s="181"/>
      <c r="AR351" s="181"/>
      <c r="AS351" s="181"/>
      <c r="AT351" s="181"/>
      <c r="AU351" s="181"/>
      <c r="AV351" s="181"/>
      <c r="AW351" s="181"/>
      <c r="AX351" s="181"/>
      <c r="AY351" s="181"/>
      <c r="AZ351" s="181"/>
      <c r="BA351" s="181"/>
      <c r="BB351" s="181"/>
      <c r="BC351" s="173"/>
      <c r="BD351" s="173"/>
      <c r="BE351" s="173"/>
      <c r="BF351" s="173"/>
      <c r="BG351" s="173"/>
      <c r="BH351" s="173"/>
      <c r="BI351" s="173"/>
      <c r="BJ351" s="173"/>
      <c r="BK351" s="173"/>
      <c r="BL351" s="173"/>
      <c r="BM351" s="173"/>
      <c r="BN351" s="181"/>
      <c r="BO351" s="181"/>
      <c r="BP351" s="181"/>
      <c r="BQ351" s="181"/>
      <c r="BR351" s="181"/>
      <c r="BS351" s="181"/>
      <c r="BT351" s="181"/>
      <c r="BU351" s="173"/>
      <c r="BV351" s="173"/>
      <c r="BW351" s="173"/>
      <c r="BX351" s="173"/>
      <c r="BY351" s="173"/>
      <c r="BZ351" s="173"/>
      <c r="CA351" s="173"/>
      <c r="CB351" s="173"/>
      <c r="CC351" s="173"/>
      <c r="CD351" s="173"/>
      <c r="CE351" s="173"/>
      <c r="CF351" s="173"/>
      <c r="CG351" s="173"/>
      <c r="CH351" s="173"/>
      <c r="CI351" s="173"/>
      <c r="CJ351" s="173"/>
      <c r="CK351" s="173"/>
      <c r="CL351" s="173"/>
    </row>
    <row r="352" spans="1:90">
      <c r="A352" s="181"/>
      <c r="B352" s="181"/>
      <c r="C352" s="181"/>
      <c r="D352" s="181"/>
      <c r="E352" s="181"/>
      <c r="F352" s="181"/>
      <c r="G352" s="181"/>
      <c r="H352" s="181"/>
      <c r="I352" s="181"/>
      <c r="J352" s="181"/>
      <c r="K352" s="254"/>
      <c r="L352" s="181"/>
      <c r="M352" s="181"/>
      <c r="N352" s="181"/>
      <c r="O352" s="181"/>
      <c r="P352" s="181"/>
      <c r="Q352" s="181"/>
      <c r="R352" s="181"/>
      <c r="S352" s="181"/>
      <c r="T352" s="181"/>
      <c r="U352" s="181"/>
      <c r="V352" s="181"/>
      <c r="W352" s="181"/>
      <c r="X352" s="181"/>
      <c r="Y352" s="181"/>
      <c r="Z352" s="181"/>
      <c r="AA352" s="181"/>
      <c r="AB352" s="181"/>
      <c r="AC352" s="181"/>
      <c r="AD352" s="181"/>
      <c r="AE352" s="181"/>
      <c r="AF352" s="181"/>
      <c r="AG352" s="181"/>
      <c r="AH352" s="181"/>
      <c r="AI352" s="181"/>
      <c r="AJ352" s="181"/>
      <c r="AK352" s="181"/>
      <c r="AL352" s="181"/>
      <c r="AM352" s="181"/>
      <c r="AN352" s="181"/>
      <c r="AO352" s="181"/>
      <c r="AP352" s="181"/>
      <c r="AQ352" s="181"/>
      <c r="AR352" s="181"/>
      <c r="AS352" s="181"/>
      <c r="AT352" s="181"/>
      <c r="AU352" s="181"/>
      <c r="AV352" s="181"/>
      <c r="AW352" s="181"/>
      <c r="AX352" s="181"/>
      <c r="AY352" s="181"/>
      <c r="AZ352" s="181"/>
      <c r="BA352" s="181"/>
      <c r="BB352" s="181"/>
      <c r="BC352" s="173"/>
      <c r="BD352" s="173"/>
      <c r="BE352" s="173"/>
      <c r="BF352" s="173"/>
      <c r="BG352" s="173"/>
      <c r="BH352" s="173"/>
      <c r="BI352" s="173"/>
      <c r="BJ352" s="173"/>
      <c r="BK352" s="173"/>
      <c r="BL352" s="173"/>
      <c r="BM352" s="173"/>
      <c r="BN352" s="181"/>
      <c r="BO352" s="181"/>
      <c r="BP352" s="181"/>
      <c r="BQ352" s="181"/>
      <c r="BR352" s="181"/>
      <c r="BS352" s="181"/>
      <c r="BT352" s="181"/>
      <c r="BU352" s="173"/>
      <c r="BV352" s="173"/>
      <c r="BW352" s="173"/>
      <c r="BX352" s="173"/>
      <c r="BY352" s="173"/>
      <c r="BZ352" s="173"/>
      <c r="CA352" s="173"/>
      <c r="CB352" s="173"/>
      <c r="CC352" s="173"/>
      <c r="CD352" s="173"/>
      <c r="CE352" s="173"/>
      <c r="CF352" s="173"/>
      <c r="CG352" s="173"/>
      <c r="CH352" s="173"/>
      <c r="CI352" s="173"/>
      <c r="CJ352" s="173"/>
      <c r="CK352" s="173"/>
      <c r="CL352" s="173"/>
    </row>
    <row r="353" spans="1:90">
      <c r="A353" s="181"/>
      <c r="B353" s="181"/>
      <c r="C353" s="181"/>
      <c r="D353" s="181"/>
      <c r="E353" s="181"/>
      <c r="F353" s="181"/>
      <c r="G353" s="181"/>
      <c r="H353" s="181"/>
      <c r="I353" s="181"/>
      <c r="J353" s="181"/>
      <c r="K353" s="254"/>
      <c r="L353" s="181"/>
      <c r="M353" s="181"/>
      <c r="N353" s="181"/>
      <c r="O353" s="181"/>
      <c r="P353" s="181"/>
      <c r="Q353" s="181"/>
      <c r="R353" s="181"/>
      <c r="S353" s="181"/>
      <c r="T353" s="181"/>
      <c r="U353" s="181"/>
      <c r="V353" s="181"/>
      <c r="W353" s="181"/>
      <c r="X353" s="181"/>
      <c r="Y353" s="181"/>
      <c r="Z353" s="181"/>
      <c r="AA353" s="181"/>
      <c r="AB353" s="181"/>
      <c r="AC353" s="181"/>
      <c r="AD353" s="181"/>
      <c r="AE353" s="181"/>
      <c r="AF353" s="181"/>
      <c r="AG353" s="181"/>
      <c r="AH353" s="181"/>
      <c r="AI353" s="181"/>
      <c r="AJ353" s="181"/>
      <c r="AK353" s="181"/>
      <c r="AL353" s="181"/>
      <c r="AM353" s="181"/>
      <c r="AN353" s="181"/>
      <c r="AO353" s="181"/>
      <c r="AP353" s="181"/>
      <c r="AQ353" s="181"/>
      <c r="AR353" s="181"/>
      <c r="AS353" s="181"/>
      <c r="AT353" s="181"/>
      <c r="AU353" s="181"/>
      <c r="AV353" s="181"/>
      <c r="AW353" s="181"/>
      <c r="AX353" s="181"/>
      <c r="AY353" s="181"/>
      <c r="AZ353" s="181"/>
      <c r="BA353" s="181"/>
      <c r="BB353" s="181"/>
      <c r="BC353" s="173"/>
      <c r="BD353" s="173"/>
      <c r="BE353" s="173"/>
      <c r="BF353" s="173"/>
      <c r="BG353" s="173"/>
      <c r="BH353" s="173"/>
      <c r="BI353" s="173"/>
      <c r="BJ353" s="173"/>
      <c r="BK353" s="173"/>
      <c r="BL353" s="173"/>
      <c r="BM353" s="173"/>
      <c r="BN353" s="181"/>
      <c r="BO353" s="181"/>
      <c r="BP353" s="181"/>
      <c r="BQ353" s="181"/>
      <c r="BR353" s="181"/>
      <c r="BS353" s="181"/>
      <c r="BT353" s="181"/>
      <c r="BU353" s="173"/>
      <c r="BV353" s="173"/>
      <c r="BW353" s="173"/>
      <c r="BX353" s="173"/>
      <c r="BY353" s="173"/>
      <c r="BZ353" s="173"/>
      <c r="CA353" s="173"/>
      <c r="CB353" s="173"/>
      <c r="CC353" s="173"/>
      <c r="CD353" s="173"/>
      <c r="CE353" s="173"/>
      <c r="CF353" s="173"/>
      <c r="CG353" s="173"/>
      <c r="CH353" s="173"/>
      <c r="CI353" s="173"/>
      <c r="CJ353" s="173"/>
      <c r="CK353" s="173"/>
      <c r="CL353" s="173"/>
    </row>
    <row r="354" spans="1:90">
      <c r="A354" s="181"/>
      <c r="B354" s="181"/>
      <c r="C354" s="181"/>
      <c r="D354" s="181"/>
      <c r="E354" s="181"/>
      <c r="F354" s="181"/>
      <c r="G354" s="181"/>
      <c r="H354" s="181"/>
      <c r="I354" s="181"/>
      <c r="J354" s="181"/>
      <c r="K354" s="254"/>
      <c r="L354" s="181"/>
      <c r="M354" s="181"/>
      <c r="N354" s="181"/>
      <c r="O354" s="181"/>
      <c r="P354" s="181"/>
      <c r="Q354" s="181"/>
      <c r="R354" s="181"/>
      <c r="S354" s="181"/>
      <c r="T354" s="181"/>
      <c r="U354" s="181"/>
      <c r="V354" s="181"/>
      <c r="W354" s="181"/>
      <c r="X354" s="181"/>
      <c r="Y354" s="181"/>
      <c r="Z354" s="181"/>
      <c r="AA354" s="181"/>
      <c r="AB354" s="181"/>
      <c r="AC354" s="181"/>
      <c r="AD354" s="181"/>
      <c r="AE354" s="181"/>
      <c r="AF354" s="181"/>
      <c r="AG354" s="181"/>
      <c r="AH354" s="181"/>
      <c r="AI354" s="181"/>
      <c r="AJ354" s="181"/>
      <c r="AK354" s="181"/>
      <c r="AL354" s="181"/>
      <c r="AM354" s="181"/>
      <c r="AN354" s="181"/>
      <c r="AO354" s="181"/>
      <c r="AP354" s="181"/>
      <c r="AQ354" s="181"/>
      <c r="AR354" s="181"/>
      <c r="AS354" s="181"/>
      <c r="AT354" s="181"/>
      <c r="AU354" s="181"/>
      <c r="AV354" s="181"/>
      <c r="AW354" s="181"/>
      <c r="AX354" s="181"/>
      <c r="AY354" s="181"/>
      <c r="AZ354" s="181"/>
      <c r="BA354" s="181"/>
      <c r="BB354" s="181"/>
      <c r="BC354" s="173"/>
      <c r="BD354" s="173"/>
      <c r="BE354" s="173"/>
      <c r="BF354" s="173"/>
      <c r="BG354" s="173"/>
      <c r="BH354" s="173"/>
      <c r="BI354" s="173"/>
      <c r="BJ354" s="173"/>
      <c r="BK354" s="173"/>
      <c r="BL354" s="173"/>
      <c r="BM354" s="173"/>
      <c r="BN354" s="181"/>
      <c r="BO354" s="181"/>
      <c r="BP354" s="181"/>
      <c r="BQ354" s="181"/>
      <c r="BR354" s="181"/>
      <c r="BS354" s="181"/>
      <c r="BT354" s="181"/>
      <c r="BU354" s="173"/>
      <c r="BV354" s="173"/>
      <c r="BW354" s="173"/>
      <c r="BX354" s="173"/>
      <c r="BY354" s="173"/>
      <c r="BZ354" s="173"/>
      <c r="CA354" s="173"/>
      <c r="CB354" s="173"/>
      <c r="CC354" s="173"/>
      <c r="CD354" s="173"/>
      <c r="CE354" s="173"/>
      <c r="CF354" s="173"/>
      <c r="CG354" s="173"/>
      <c r="CH354" s="173"/>
      <c r="CI354" s="173"/>
      <c r="CJ354" s="173"/>
      <c r="CK354" s="173"/>
      <c r="CL354" s="173"/>
    </row>
    <row r="355" spans="1:90">
      <c r="A355" s="181"/>
      <c r="B355" s="181"/>
      <c r="C355" s="181"/>
      <c r="D355" s="181"/>
      <c r="E355" s="181"/>
      <c r="F355" s="181"/>
      <c r="G355" s="181"/>
      <c r="H355" s="181"/>
      <c r="I355" s="181"/>
      <c r="J355" s="181"/>
      <c r="K355" s="254"/>
      <c r="L355" s="181"/>
      <c r="M355" s="181"/>
      <c r="N355" s="181"/>
      <c r="O355" s="181"/>
      <c r="P355" s="181"/>
      <c r="Q355" s="181"/>
      <c r="R355" s="181"/>
      <c r="S355" s="181"/>
      <c r="T355" s="181"/>
      <c r="U355" s="181"/>
      <c r="V355" s="181"/>
      <c r="W355" s="181"/>
      <c r="X355" s="181"/>
      <c r="Y355" s="181"/>
      <c r="Z355" s="181"/>
      <c r="AA355" s="181"/>
      <c r="AB355" s="181"/>
      <c r="AC355" s="181"/>
      <c r="AD355" s="181"/>
      <c r="AE355" s="181"/>
      <c r="AF355" s="181"/>
      <c r="AG355" s="181"/>
      <c r="AH355" s="181"/>
      <c r="AI355" s="181"/>
      <c r="AJ355" s="181"/>
      <c r="AK355" s="181"/>
      <c r="AL355" s="181"/>
      <c r="AM355" s="181"/>
      <c r="AN355" s="181"/>
      <c r="AO355" s="181"/>
      <c r="AP355" s="181"/>
      <c r="AQ355" s="181"/>
      <c r="AR355" s="181"/>
      <c r="AS355" s="181"/>
      <c r="AT355" s="181"/>
      <c r="AU355" s="181"/>
      <c r="AV355" s="181"/>
      <c r="AW355" s="181"/>
      <c r="AX355" s="181"/>
      <c r="AY355" s="181"/>
      <c r="AZ355" s="181"/>
      <c r="BA355" s="181"/>
      <c r="BB355" s="181"/>
      <c r="BC355" s="173"/>
      <c r="BD355" s="173"/>
      <c r="BE355" s="173"/>
      <c r="BF355" s="173"/>
      <c r="BG355" s="173"/>
      <c r="BH355" s="173"/>
      <c r="BI355" s="173"/>
      <c r="BJ355" s="173"/>
      <c r="BK355" s="173"/>
      <c r="BL355" s="173"/>
      <c r="BM355" s="173"/>
      <c r="BN355" s="181"/>
      <c r="BO355" s="181"/>
      <c r="BP355" s="181"/>
      <c r="BQ355" s="181"/>
      <c r="BR355" s="181"/>
      <c r="BS355" s="181"/>
      <c r="BT355" s="181"/>
      <c r="BU355" s="173"/>
      <c r="BV355" s="173"/>
      <c r="BW355" s="173"/>
      <c r="BX355" s="173"/>
      <c r="BY355" s="173"/>
      <c r="BZ355" s="173"/>
      <c r="CA355" s="173"/>
      <c r="CB355" s="173"/>
      <c r="CC355" s="173"/>
      <c r="CD355" s="173"/>
      <c r="CE355" s="173"/>
      <c r="CF355" s="173"/>
      <c r="CG355" s="173"/>
      <c r="CH355" s="173"/>
      <c r="CI355" s="173"/>
      <c r="CJ355" s="173"/>
      <c r="CK355" s="173"/>
      <c r="CL355" s="173"/>
    </row>
    <row r="356" spans="1:90">
      <c r="A356" s="181"/>
      <c r="B356" s="181"/>
      <c r="C356" s="181"/>
      <c r="D356" s="181"/>
      <c r="E356" s="181"/>
      <c r="F356" s="181"/>
      <c r="G356" s="181"/>
      <c r="H356" s="181"/>
      <c r="I356" s="181"/>
      <c r="J356" s="181"/>
      <c r="K356" s="254"/>
      <c r="L356" s="181"/>
      <c r="M356" s="181"/>
      <c r="N356" s="181"/>
      <c r="O356" s="181"/>
      <c r="P356" s="181"/>
      <c r="Q356" s="181"/>
      <c r="R356" s="181"/>
      <c r="S356" s="181"/>
      <c r="T356" s="181"/>
      <c r="U356" s="181"/>
      <c r="V356" s="181"/>
      <c r="W356" s="181"/>
      <c r="X356" s="181"/>
      <c r="Y356" s="181"/>
      <c r="Z356" s="181"/>
      <c r="AA356" s="181"/>
      <c r="AB356" s="181"/>
      <c r="AC356" s="181"/>
      <c r="AD356" s="181"/>
      <c r="AE356" s="181"/>
      <c r="AF356" s="181"/>
      <c r="AG356" s="181"/>
      <c r="AH356" s="181"/>
      <c r="AI356" s="181"/>
      <c r="AJ356" s="181"/>
      <c r="AK356" s="181"/>
      <c r="AL356" s="181"/>
      <c r="AM356" s="181"/>
      <c r="AN356" s="181"/>
      <c r="AO356" s="181"/>
      <c r="AP356" s="181"/>
      <c r="AQ356" s="181"/>
      <c r="AR356" s="181"/>
      <c r="AS356" s="181"/>
      <c r="AT356" s="181"/>
      <c r="AU356" s="181"/>
      <c r="AV356" s="181"/>
      <c r="AW356" s="181"/>
      <c r="AX356" s="181"/>
      <c r="AY356" s="181"/>
      <c r="AZ356" s="181"/>
      <c r="BA356" s="181"/>
      <c r="BB356" s="181"/>
      <c r="BC356" s="173"/>
      <c r="BD356" s="173"/>
      <c r="BE356" s="173"/>
      <c r="BF356" s="173"/>
      <c r="BG356" s="173"/>
      <c r="BH356" s="173"/>
      <c r="BI356" s="173"/>
      <c r="BJ356" s="173"/>
      <c r="BK356" s="173"/>
      <c r="BL356" s="173"/>
      <c r="BM356" s="173"/>
      <c r="BN356" s="181"/>
      <c r="BO356" s="181"/>
      <c r="BP356" s="181"/>
      <c r="BQ356" s="181"/>
      <c r="BR356" s="181"/>
      <c r="BS356" s="181"/>
      <c r="BT356" s="181"/>
      <c r="BU356" s="173"/>
      <c r="BV356" s="173"/>
      <c r="BW356" s="173"/>
      <c r="BX356" s="173"/>
      <c r="BY356" s="173"/>
      <c r="BZ356" s="173"/>
      <c r="CA356" s="173"/>
      <c r="CB356" s="173"/>
      <c r="CC356" s="173"/>
      <c r="CD356" s="173"/>
      <c r="CE356" s="173"/>
      <c r="CF356" s="173"/>
      <c r="CG356" s="173"/>
      <c r="CH356" s="173"/>
      <c r="CI356" s="173"/>
      <c r="CJ356" s="173"/>
      <c r="CK356" s="173"/>
      <c r="CL356" s="173"/>
    </row>
    <row r="357" spans="1:90">
      <c r="A357" s="181"/>
      <c r="B357" s="181"/>
      <c r="C357" s="181"/>
      <c r="D357" s="181"/>
      <c r="E357" s="181"/>
      <c r="F357" s="181"/>
      <c r="G357" s="181"/>
      <c r="H357" s="181"/>
      <c r="I357" s="181"/>
      <c r="J357" s="181"/>
      <c r="K357" s="254"/>
      <c r="L357" s="181"/>
      <c r="M357" s="181"/>
      <c r="N357" s="181"/>
      <c r="O357" s="181"/>
      <c r="P357" s="181"/>
      <c r="Q357" s="181"/>
      <c r="R357" s="181"/>
      <c r="S357" s="181"/>
      <c r="T357" s="181"/>
      <c r="U357" s="181"/>
      <c r="V357" s="181"/>
      <c r="W357" s="181"/>
      <c r="X357" s="181"/>
      <c r="Y357" s="181"/>
      <c r="Z357" s="181"/>
      <c r="AA357" s="181"/>
      <c r="AB357" s="181"/>
      <c r="AC357" s="181"/>
      <c r="AD357" s="181"/>
      <c r="AE357" s="181"/>
      <c r="AF357" s="181"/>
      <c r="AG357" s="181"/>
      <c r="AH357" s="181"/>
      <c r="AI357" s="181"/>
      <c r="AJ357" s="181"/>
      <c r="AK357" s="181"/>
      <c r="AL357" s="181"/>
      <c r="AM357" s="181"/>
      <c r="AN357" s="181"/>
      <c r="AO357" s="181"/>
      <c r="AP357" s="181"/>
      <c r="AQ357" s="181"/>
      <c r="AR357" s="181"/>
      <c r="AS357" s="181"/>
      <c r="AT357" s="181"/>
      <c r="AU357" s="181"/>
      <c r="AV357" s="181"/>
      <c r="AW357" s="181"/>
      <c r="AX357" s="181"/>
      <c r="AY357" s="181"/>
      <c r="AZ357" s="181"/>
      <c r="BA357" s="181"/>
      <c r="BB357" s="181"/>
      <c r="BC357" s="173"/>
      <c r="BD357" s="173"/>
      <c r="BE357" s="173"/>
      <c r="BF357" s="173"/>
      <c r="BG357" s="173"/>
      <c r="BH357" s="173"/>
      <c r="BI357" s="173"/>
      <c r="BJ357" s="173"/>
      <c r="BK357" s="173"/>
      <c r="BL357" s="173"/>
      <c r="BM357" s="173"/>
      <c r="BN357" s="181"/>
      <c r="BO357" s="181"/>
      <c r="BP357" s="181"/>
      <c r="BQ357" s="181"/>
      <c r="BR357" s="181"/>
      <c r="BS357" s="181"/>
      <c r="BT357" s="181"/>
      <c r="BU357" s="173"/>
      <c r="BV357" s="173"/>
      <c r="BW357" s="173"/>
      <c r="BX357" s="173"/>
      <c r="BY357" s="173"/>
      <c r="BZ357" s="173"/>
      <c r="CA357" s="173"/>
      <c r="CB357" s="173"/>
      <c r="CC357" s="173"/>
      <c r="CD357" s="173"/>
      <c r="CE357" s="173"/>
      <c r="CF357" s="173"/>
      <c r="CG357" s="173"/>
      <c r="CH357" s="173"/>
      <c r="CI357" s="173"/>
      <c r="CJ357" s="173"/>
      <c r="CK357" s="173"/>
      <c r="CL357" s="173"/>
    </row>
    <row r="358" spans="1:90">
      <c r="A358" s="181"/>
      <c r="B358" s="181"/>
      <c r="C358" s="181"/>
      <c r="D358" s="181"/>
      <c r="E358" s="181"/>
      <c r="F358" s="181"/>
      <c r="G358" s="181"/>
      <c r="H358" s="181"/>
      <c r="I358" s="181"/>
      <c r="J358" s="181"/>
      <c r="K358" s="254"/>
      <c r="L358" s="181"/>
      <c r="M358" s="181"/>
      <c r="N358" s="181"/>
      <c r="O358" s="181"/>
      <c r="P358" s="181"/>
      <c r="Q358" s="181"/>
      <c r="R358" s="181"/>
      <c r="S358" s="181"/>
      <c r="T358" s="181"/>
      <c r="U358" s="181"/>
      <c r="V358" s="181"/>
      <c r="W358" s="181"/>
      <c r="X358" s="181"/>
      <c r="Y358" s="181"/>
      <c r="Z358" s="181"/>
      <c r="AA358" s="181"/>
      <c r="AB358" s="181"/>
      <c r="AC358" s="181"/>
      <c r="AD358" s="181"/>
      <c r="AE358" s="181"/>
      <c r="AF358" s="181"/>
      <c r="AG358" s="181"/>
      <c r="AH358" s="181"/>
      <c r="AI358" s="181"/>
      <c r="AJ358" s="181"/>
      <c r="AK358" s="181"/>
      <c r="AL358" s="181"/>
      <c r="AM358" s="181"/>
      <c r="AN358" s="181"/>
      <c r="AO358" s="181"/>
      <c r="AP358" s="181"/>
      <c r="AQ358" s="181"/>
      <c r="AR358" s="181"/>
      <c r="AS358" s="181"/>
      <c r="AT358" s="181"/>
      <c r="AU358" s="181"/>
      <c r="AV358" s="181"/>
      <c r="AW358" s="181"/>
      <c r="AX358" s="181"/>
      <c r="AY358" s="181"/>
      <c r="AZ358" s="181"/>
      <c r="BA358" s="181"/>
      <c r="BB358" s="181"/>
      <c r="BC358" s="173"/>
      <c r="BD358" s="173"/>
      <c r="BE358" s="173"/>
      <c r="BF358" s="173"/>
      <c r="BG358" s="173"/>
      <c r="BH358" s="173"/>
      <c r="BI358" s="173"/>
      <c r="BJ358" s="173"/>
      <c r="BK358" s="173"/>
      <c r="BL358" s="173"/>
      <c r="BM358" s="173"/>
      <c r="BN358" s="181"/>
      <c r="BO358" s="181"/>
      <c r="BP358" s="181"/>
      <c r="BQ358" s="181"/>
      <c r="BR358" s="181"/>
      <c r="BS358" s="181"/>
      <c r="BT358" s="181"/>
      <c r="BU358" s="173"/>
      <c r="BV358" s="173"/>
      <c r="BW358" s="173"/>
      <c r="BX358" s="173"/>
      <c r="BY358" s="173"/>
      <c r="BZ358" s="173"/>
      <c r="CA358" s="173"/>
      <c r="CB358" s="173"/>
      <c r="CC358" s="173"/>
      <c r="CD358" s="173"/>
      <c r="CE358" s="173"/>
      <c r="CF358" s="173"/>
      <c r="CG358" s="173"/>
      <c r="CH358" s="173"/>
      <c r="CI358" s="173"/>
      <c r="CJ358" s="173"/>
      <c r="CK358" s="173"/>
      <c r="CL358" s="173"/>
    </row>
    <row r="359" spans="1:90">
      <c r="A359" s="181"/>
      <c r="B359" s="181"/>
      <c r="C359" s="181"/>
      <c r="D359" s="181"/>
      <c r="E359" s="181"/>
      <c r="F359" s="181"/>
      <c r="G359" s="181"/>
      <c r="H359" s="181"/>
      <c r="I359" s="181"/>
      <c r="J359" s="181"/>
      <c r="K359" s="254"/>
      <c r="L359" s="181"/>
      <c r="M359" s="181"/>
      <c r="N359" s="181"/>
      <c r="O359" s="181"/>
      <c r="P359" s="181"/>
      <c r="Q359" s="181"/>
      <c r="R359" s="181"/>
      <c r="S359" s="181"/>
      <c r="T359" s="181"/>
      <c r="U359" s="181"/>
      <c r="V359" s="181"/>
      <c r="W359" s="181"/>
      <c r="X359" s="181"/>
      <c r="Y359" s="181"/>
      <c r="Z359" s="181"/>
      <c r="AA359" s="181"/>
      <c r="AB359" s="181"/>
      <c r="AC359" s="181"/>
      <c r="AD359" s="181"/>
      <c r="AE359" s="181"/>
      <c r="AF359" s="181"/>
      <c r="AG359" s="181"/>
      <c r="AH359" s="181"/>
      <c r="AI359" s="181"/>
      <c r="AJ359" s="181"/>
      <c r="AK359" s="181"/>
      <c r="AL359" s="181"/>
      <c r="AM359" s="181"/>
      <c r="AN359" s="181"/>
      <c r="AO359" s="181"/>
      <c r="AP359" s="181"/>
      <c r="AQ359" s="181"/>
      <c r="AR359" s="181"/>
      <c r="AS359" s="181"/>
      <c r="AT359" s="181"/>
      <c r="AU359" s="181"/>
      <c r="AV359" s="181"/>
      <c r="AW359" s="181"/>
      <c r="AX359" s="181"/>
      <c r="AY359" s="181"/>
      <c r="AZ359" s="181"/>
      <c r="BA359" s="181"/>
      <c r="BB359" s="181"/>
      <c r="BC359" s="173"/>
      <c r="BD359" s="173"/>
      <c r="BE359" s="173"/>
      <c r="BF359" s="173"/>
      <c r="BG359" s="173"/>
      <c r="BH359" s="173"/>
      <c r="BI359" s="173"/>
      <c r="BJ359" s="173"/>
      <c r="BK359" s="173"/>
      <c r="BL359" s="173"/>
      <c r="BM359" s="173"/>
      <c r="BN359" s="181"/>
      <c r="BO359" s="181"/>
      <c r="BP359" s="181"/>
      <c r="BQ359" s="181"/>
      <c r="BR359" s="181"/>
      <c r="BS359" s="181"/>
      <c r="BT359" s="181"/>
      <c r="BU359" s="173"/>
      <c r="BV359" s="173"/>
      <c r="BW359" s="173"/>
      <c r="BX359" s="173"/>
      <c r="BY359" s="173"/>
      <c r="BZ359" s="173"/>
      <c r="CA359" s="173"/>
      <c r="CB359" s="173"/>
      <c r="CC359" s="173"/>
      <c r="CD359" s="173"/>
      <c r="CE359" s="173"/>
      <c r="CF359" s="173"/>
      <c r="CG359" s="173"/>
      <c r="CH359" s="173"/>
      <c r="CI359" s="173"/>
      <c r="CJ359" s="173"/>
      <c r="CK359" s="173"/>
      <c r="CL359" s="173"/>
    </row>
    <row r="360" spans="1:90">
      <c r="A360" s="181"/>
      <c r="B360" s="181"/>
      <c r="C360" s="181"/>
      <c r="D360" s="181"/>
      <c r="E360" s="181"/>
      <c r="F360" s="181"/>
      <c r="G360" s="181"/>
      <c r="H360" s="181"/>
      <c r="I360" s="181"/>
      <c r="J360" s="181"/>
      <c r="K360" s="254"/>
      <c r="L360" s="181"/>
      <c r="M360" s="181"/>
      <c r="N360" s="181"/>
      <c r="O360" s="181"/>
      <c r="P360" s="181"/>
      <c r="Q360" s="181"/>
      <c r="R360" s="181"/>
      <c r="S360" s="181"/>
      <c r="T360" s="181"/>
      <c r="U360" s="181"/>
      <c r="V360" s="181"/>
      <c r="W360" s="181"/>
      <c r="X360" s="181"/>
      <c r="Y360" s="181"/>
      <c r="Z360" s="181"/>
      <c r="AA360" s="181"/>
      <c r="AB360" s="181"/>
      <c r="AC360" s="181"/>
      <c r="AD360" s="181"/>
      <c r="AE360" s="181"/>
      <c r="AF360" s="181"/>
      <c r="AG360" s="181"/>
      <c r="AH360" s="181"/>
      <c r="AI360" s="181"/>
      <c r="AJ360" s="181"/>
      <c r="AK360" s="181"/>
      <c r="AL360" s="181"/>
      <c r="AM360" s="181"/>
      <c r="AN360" s="181"/>
      <c r="AO360" s="181"/>
      <c r="AP360" s="181"/>
      <c r="AQ360" s="181"/>
      <c r="AR360" s="181"/>
      <c r="AS360" s="181"/>
      <c r="AT360" s="181"/>
      <c r="AU360" s="181"/>
      <c r="AV360" s="181"/>
      <c r="AW360" s="181"/>
      <c r="AX360" s="181"/>
      <c r="AY360" s="181"/>
      <c r="AZ360" s="181"/>
      <c r="BA360" s="181"/>
      <c r="BB360" s="181"/>
      <c r="BC360" s="173"/>
      <c r="BD360" s="173"/>
      <c r="BE360" s="173"/>
      <c r="BF360" s="173"/>
      <c r="BG360" s="173"/>
      <c r="BH360" s="173"/>
      <c r="BI360" s="173"/>
      <c r="BJ360" s="173"/>
      <c r="BK360" s="173"/>
      <c r="BL360" s="173"/>
      <c r="BM360" s="173"/>
      <c r="BN360" s="181"/>
      <c r="BO360" s="181"/>
      <c r="BP360" s="181"/>
      <c r="BQ360" s="181"/>
      <c r="BR360" s="181"/>
      <c r="BS360" s="181"/>
      <c r="BT360" s="181"/>
      <c r="BU360" s="173"/>
      <c r="BV360" s="173"/>
      <c r="BW360" s="173"/>
      <c r="BX360" s="173"/>
      <c r="BY360" s="173"/>
      <c r="BZ360" s="173"/>
      <c r="CA360" s="173"/>
      <c r="CB360" s="173"/>
      <c r="CC360" s="173"/>
      <c r="CD360" s="173"/>
      <c r="CE360" s="173"/>
      <c r="CF360" s="173"/>
      <c r="CG360" s="173"/>
      <c r="CH360" s="173"/>
      <c r="CI360" s="173"/>
      <c r="CJ360" s="173"/>
      <c r="CK360" s="173"/>
      <c r="CL360" s="173"/>
    </row>
    <row r="361" spans="1:90">
      <c r="A361" s="181"/>
      <c r="B361" s="181"/>
      <c r="C361" s="181"/>
      <c r="D361" s="181"/>
      <c r="E361" s="181"/>
      <c r="F361" s="181"/>
      <c r="G361" s="181"/>
      <c r="H361" s="181"/>
      <c r="I361" s="181"/>
      <c r="J361" s="181"/>
      <c r="K361" s="254"/>
      <c r="L361" s="181"/>
      <c r="M361" s="181"/>
      <c r="N361" s="181"/>
      <c r="O361" s="181"/>
      <c r="P361" s="181"/>
      <c r="Q361" s="181"/>
      <c r="R361" s="181"/>
      <c r="S361" s="181"/>
      <c r="T361" s="181"/>
      <c r="U361" s="181"/>
      <c r="V361" s="181"/>
      <c r="W361" s="181"/>
      <c r="X361" s="181"/>
      <c r="Y361" s="181"/>
      <c r="Z361" s="181"/>
      <c r="AA361" s="181"/>
      <c r="AB361" s="181"/>
      <c r="AC361" s="181"/>
      <c r="AD361" s="181"/>
      <c r="AE361" s="181"/>
      <c r="AF361" s="181"/>
      <c r="AG361" s="181"/>
      <c r="AH361" s="181"/>
      <c r="AI361" s="181"/>
      <c r="AJ361" s="181"/>
      <c r="AK361" s="181"/>
      <c r="AL361" s="181"/>
      <c r="AM361" s="181"/>
      <c r="AN361" s="181"/>
      <c r="AO361" s="181"/>
      <c r="AP361" s="181"/>
      <c r="AQ361" s="181"/>
      <c r="AR361" s="181"/>
      <c r="AS361" s="181"/>
      <c r="AT361" s="181"/>
      <c r="AU361" s="181"/>
      <c r="AV361" s="181"/>
      <c r="AW361" s="181"/>
      <c r="AX361" s="181"/>
      <c r="AY361" s="181"/>
      <c r="AZ361" s="181"/>
      <c r="BA361" s="181"/>
      <c r="BB361" s="181"/>
      <c r="BC361" s="173"/>
      <c r="BD361" s="173"/>
      <c r="BE361" s="173"/>
      <c r="BF361" s="173"/>
      <c r="BG361" s="173"/>
      <c r="BH361" s="173"/>
      <c r="BI361" s="173"/>
      <c r="BJ361" s="173"/>
      <c r="BK361" s="173"/>
      <c r="BL361" s="173"/>
      <c r="BM361" s="173"/>
      <c r="BN361" s="181"/>
      <c r="BO361" s="181"/>
      <c r="BP361" s="181"/>
      <c r="BQ361" s="181"/>
      <c r="BR361" s="181"/>
      <c r="BS361" s="181"/>
      <c r="BT361" s="181"/>
      <c r="BU361" s="173"/>
      <c r="BV361" s="173"/>
      <c r="BW361" s="173"/>
      <c r="BX361" s="173"/>
      <c r="BY361" s="173"/>
      <c r="BZ361" s="173"/>
      <c r="CA361" s="173"/>
      <c r="CB361" s="173"/>
      <c r="CC361" s="173"/>
      <c r="CD361" s="173"/>
      <c r="CE361" s="173"/>
      <c r="CF361" s="173"/>
      <c r="CG361" s="173"/>
      <c r="CH361" s="173"/>
      <c r="CI361" s="173"/>
      <c r="CJ361" s="173"/>
      <c r="CK361" s="173"/>
      <c r="CL361" s="173"/>
    </row>
    <row r="362" spans="1:90">
      <c r="A362" s="181"/>
      <c r="B362" s="181"/>
      <c r="C362" s="181"/>
      <c r="D362" s="181"/>
      <c r="E362" s="181"/>
      <c r="F362" s="181"/>
      <c r="G362" s="181"/>
      <c r="H362" s="181"/>
      <c r="I362" s="181"/>
      <c r="J362" s="181"/>
      <c r="K362" s="254"/>
      <c r="L362" s="181"/>
      <c r="M362" s="181"/>
      <c r="N362" s="181"/>
      <c r="O362" s="181"/>
      <c r="P362" s="181"/>
      <c r="Q362" s="181"/>
      <c r="R362" s="181"/>
      <c r="S362" s="181"/>
      <c r="T362" s="181"/>
      <c r="U362" s="181"/>
      <c r="V362" s="181"/>
      <c r="W362" s="181"/>
      <c r="X362" s="181"/>
      <c r="Y362" s="181"/>
      <c r="Z362" s="181"/>
      <c r="AA362" s="181"/>
      <c r="AB362" s="181"/>
      <c r="AC362" s="181"/>
      <c r="AD362" s="181"/>
      <c r="AE362" s="181"/>
      <c r="AF362" s="181"/>
      <c r="AG362" s="181"/>
      <c r="AH362" s="181"/>
      <c r="AI362" s="181"/>
      <c r="AJ362" s="181"/>
      <c r="AK362" s="181"/>
      <c r="AL362" s="181"/>
      <c r="AM362" s="181"/>
      <c r="AN362" s="181"/>
      <c r="AO362" s="181"/>
      <c r="AP362" s="181"/>
      <c r="AQ362" s="181"/>
      <c r="AR362" s="181"/>
      <c r="AS362" s="181"/>
      <c r="AT362" s="181"/>
      <c r="AU362" s="181"/>
      <c r="AV362" s="181"/>
      <c r="AW362" s="181"/>
      <c r="AX362" s="181"/>
      <c r="AY362" s="181"/>
      <c r="AZ362" s="181"/>
      <c r="BA362" s="181"/>
      <c r="BB362" s="181"/>
      <c r="BC362" s="173"/>
      <c r="BD362" s="173"/>
      <c r="BE362" s="173"/>
      <c r="BF362" s="173"/>
      <c r="BG362" s="173"/>
      <c r="BH362" s="173"/>
      <c r="BI362" s="173"/>
      <c r="BJ362" s="173"/>
      <c r="BK362" s="173"/>
      <c r="BL362" s="173"/>
      <c r="BM362" s="173"/>
      <c r="BN362" s="181"/>
      <c r="BO362" s="181"/>
      <c r="BP362" s="181"/>
      <c r="BQ362" s="181"/>
      <c r="BR362" s="181"/>
      <c r="BS362" s="181"/>
      <c r="BT362" s="181"/>
      <c r="BU362" s="173"/>
      <c r="BV362" s="173"/>
      <c r="BW362" s="173"/>
      <c r="BX362" s="173"/>
      <c r="BY362" s="173"/>
      <c r="BZ362" s="173"/>
      <c r="CA362" s="173"/>
      <c r="CB362" s="173"/>
      <c r="CC362" s="173"/>
      <c r="CD362" s="173"/>
      <c r="CE362" s="173"/>
      <c r="CF362" s="173"/>
      <c r="CG362" s="173"/>
      <c r="CH362" s="173"/>
      <c r="CI362" s="173"/>
      <c r="CJ362" s="173"/>
      <c r="CK362" s="173"/>
      <c r="CL362" s="173"/>
    </row>
    <row r="363" spans="1:90">
      <c r="A363" s="181"/>
      <c r="B363" s="181"/>
      <c r="C363" s="181"/>
      <c r="D363" s="181"/>
      <c r="E363" s="181"/>
      <c r="F363" s="181"/>
      <c r="G363" s="181"/>
      <c r="H363" s="181"/>
      <c r="I363" s="181"/>
      <c r="J363" s="181"/>
      <c r="K363" s="254"/>
      <c r="L363" s="181"/>
      <c r="M363" s="181"/>
      <c r="N363" s="181"/>
      <c r="O363" s="181"/>
      <c r="P363" s="181"/>
      <c r="Q363" s="181"/>
      <c r="R363" s="181"/>
      <c r="S363" s="181"/>
      <c r="T363" s="181"/>
      <c r="U363" s="181"/>
      <c r="V363" s="181"/>
      <c r="W363" s="181"/>
      <c r="X363" s="181"/>
      <c r="Y363" s="181"/>
      <c r="Z363" s="181"/>
      <c r="AA363" s="181"/>
      <c r="AB363" s="181"/>
      <c r="AC363" s="181"/>
      <c r="AD363" s="181"/>
      <c r="AE363" s="181"/>
      <c r="AF363" s="181"/>
      <c r="AG363" s="181"/>
      <c r="AH363" s="181"/>
      <c r="AI363" s="181"/>
      <c r="AJ363" s="181"/>
      <c r="AK363" s="181"/>
      <c r="AL363" s="181"/>
      <c r="AM363" s="181"/>
      <c r="AN363" s="181"/>
      <c r="AO363" s="181"/>
      <c r="AP363" s="181"/>
      <c r="AQ363" s="181"/>
      <c r="AR363" s="181"/>
      <c r="AS363" s="181"/>
      <c r="AT363" s="181"/>
      <c r="AU363" s="181"/>
      <c r="AV363" s="181"/>
      <c r="AW363" s="181"/>
      <c r="AX363" s="181"/>
      <c r="AY363" s="181"/>
      <c r="AZ363" s="181"/>
      <c r="BA363" s="181"/>
      <c r="BB363" s="181"/>
      <c r="BC363" s="173"/>
      <c r="BD363" s="173"/>
      <c r="BE363" s="173"/>
      <c r="BF363" s="173"/>
      <c r="BG363" s="173"/>
      <c r="BH363" s="173"/>
      <c r="BI363" s="173"/>
      <c r="BJ363" s="173"/>
      <c r="BK363" s="173"/>
      <c r="BL363" s="173"/>
      <c r="BM363" s="173"/>
      <c r="BN363" s="181"/>
      <c r="BO363" s="181"/>
      <c r="BP363" s="181"/>
      <c r="BQ363" s="181"/>
      <c r="BR363" s="181"/>
      <c r="BS363" s="181"/>
      <c r="BT363" s="181"/>
      <c r="BU363" s="173"/>
      <c r="BV363" s="173"/>
      <c r="BW363" s="173"/>
      <c r="BX363" s="173"/>
      <c r="BY363" s="173"/>
      <c r="BZ363" s="173"/>
      <c r="CA363" s="173"/>
      <c r="CB363" s="173"/>
      <c r="CC363" s="173"/>
      <c r="CD363" s="173"/>
      <c r="CE363" s="173"/>
      <c r="CF363" s="173"/>
      <c r="CG363" s="173"/>
      <c r="CH363" s="173"/>
      <c r="CI363" s="173"/>
      <c r="CJ363" s="173"/>
      <c r="CK363" s="173"/>
      <c r="CL363" s="173"/>
    </row>
    <row r="364" spans="1:90">
      <c r="A364" s="181"/>
      <c r="B364" s="181"/>
      <c r="C364" s="181"/>
      <c r="D364" s="181"/>
      <c r="E364" s="181"/>
      <c r="F364" s="181"/>
      <c r="G364" s="181"/>
      <c r="H364" s="181"/>
      <c r="I364" s="181"/>
      <c r="J364" s="181"/>
      <c r="K364" s="254"/>
      <c r="L364" s="181"/>
      <c r="M364" s="181"/>
      <c r="N364" s="181"/>
      <c r="O364" s="181"/>
      <c r="P364" s="181"/>
      <c r="Q364" s="181"/>
      <c r="R364" s="181"/>
      <c r="S364" s="181"/>
      <c r="T364" s="181"/>
      <c r="U364" s="181"/>
      <c r="V364" s="181"/>
      <c r="W364" s="181"/>
      <c r="X364" s="181"/>
      <c r="Y364" s="181"/>
      <c r="Z364" s="181"/>
      <c r="AA364" s="181"/>
      <c r="AB364" s="181"/>
      <c r="AC364" s="181"/>
      <c r="AD364" s="181"/>
      <c r="AE364" s="181"/>
      <c r="AF364" s="181"/>
      <c r="AG364" s="181"/>
      <c r="AH364" s="181"/>
      <c r="AI364" s="181"/>
      <c r="AJ364" s="181"/>
      <c r="AK364" s="181"/>
      <c r="AL364" s="181"/>
      <c r="AM364" s="181"/>
      <c r="AN364" s="181"/>
      <c r="AO364" s="181"/>
      <c r="AP364" s="181"/>
      <c r="AQ364" s="181"/>
      <c r="AR364" s="181"/>
      <c r="AS364" s="181"/>
      <c r="AT364" s="181"/>
      <c r="AU364" s="181"/>
      <c r="AV364" s="181"/>
      <c r="AW364" s="181"/>
      <c r="AX364" s="181"/>
      <c r="AY364" s="181"/>
      <c r="AZ364" s="181"/>
      <c r="BA364" s="181"/>
      <c r="BB364" s="181"/>
      <c r="BC364" s="173"/>
      <c r="BD364" s="173"/>
      <c r="BE364" s="173"/>
      <c r="BF364" s="173"/>
      <c r="BG364" s="173"/>
      <c r="BH364" s="173"/>
      <c r="BI364" s="173"/>
      <c r="BJ364" s="173"/>
      <c r="BK364" s="173"/>
      <c r="BL364" s="173"/>
      <c r="BM364" s="173"/>
      <c r="BN364" s="181"/>
      <c r="BO364" s="181"/>
      <c r="BP364" s="181"/>
      <c r="BQ364" s="181"/>
      <c r="BR364" s="181"/>
      <c r="BS364" s="181"/>
      <c r="BT364" s="181"/>
      <c r="BU364" s="173"/>
      <c r="BV364" s="173"/>
      <c r="BW364" s="173"/>
      <c r="BX364" s="173"/>
      <c r="BY364" s="173"/>
      <c r="BZ364" s="173"/>
      <c r="CA364" s="173"/>
      <c r="CB364" s="173"/>
      <c r="CC364" s="173"/>
      <c r="CD364" s="173"/>
      <c r="CE364" s="173"/>
      <c r="CF364" s="173"/>
      <c r="CG364" s="173"/>
      <c r="CH364" s="173"/>
      <c r="CI364" s="173"/>
      <c r="CJ364" s="173"/>
      <c r="CK364" s="173"/>
      <c r="CL364" s="173"/>
    </row>
    <row r="365" spans="1:90">
      <c r="A365" s="181"/>
      <c r="B365" s="181"/>
      <c r="C365" s="181"/>
      <c r="D365" s="181"/>
      <c r="E365" s="181"/>
      <c r="F365" s="181"/>
      <c r="G365" s="181"/>
      <c r="H365" s="181"/>
      <c r="I365" s="181"/>
      <c r="J365" s="181"/>
      <c r="K365" s="254"/>
      <c r="L365" s="181"/>
      <c r="M365" s="181"/>
      <c r="N365" s="181"/>
      <c r="O365" s="181"/>
      <c r="P365" s="181"/>
      <c r="Q365" s="181"/>
      <c r="R365" s="181"/>
      <c r="S365" s="181"/>
      <c r="T365" s="181"/>
      <c r="U365" s="181"/>
      <c r="V365" s="181"/>
      <c r="W365" s="181"/>
      <c r="X365" s="181"/>
      <c r="Y365" s="181"/>
      <c r="Z365" s="181"/>
      <c r="AA365" s="181"/>
      <c r="AB365" s="181"/>
      <c r="AC365" s="181"/>
      <c r="AD365" s="181"/>
      <c r="AE365" s="181"/>
      <c r="AF365" s="181"/>
      <c r="AG365" s="181"/>
      <c r="AH365" s="181"/>
      <c r="AI365" s="181"/>
      <c r="AJ365" s="181"/>
      <c r="AK365" s="181"/>
      <c r="AL365" s="181"/>
      <c r="AM365" s="181"/>
      <c r="AN365" s="181"/>
      <c r="AO365" s="181"/>
      <c r="AP365" s="181"/>
      <c r="AQ365" s="181"/>
      <c r="AR365" s="181"/>
      <c r="AS365" s="181"/>
      <c r="AT365" s="181"/>
      <c r="AU365" s="181"/>
      <c r="AV365" s="181"/>
      <c r="AW365" s="181"/>
      <c r="AX365" s="181"/>
      <c r="AY365" s="181"/>
      <c r="AZ365" s="181"/>
      <c r="BA365" s="181"/>
      <c r="BB365" s="181"/>
      <c r="BC365" s="173"/>
      <c r="BD365" s="173"/>
      <c r="BE365" s="173"/>
      <c r="BF365" s="173"/>
      <c r="BG365" s="173"/>
      <c r="BH365" s="173"/>
      <c r="BI365" s="173"/>
      <c r="BJ365" s="173"/>
      <c r="BK365" s="173"/>
      <c r="BL365" s="173"/>
      <c r="BM365" s="173"/>
      <c r="BN365" s="181"/>
      <c r="BO365" s="181"/>
      <c r="BP365" s="181"/>
      <c r="BQ365" s="181"/>
      <c r="BR365" s="181"/>
      <c r="BS365" s="181"/>
      <c r="BT365" s="181"/>
      <c r="BU365" s="173"/>
      <c r="BV365" s="173"/>
      <c r="BW365" s="173"/>
      <c r="BX365" s="173"/>
      <c r="BY365" s="173"/>
      <c r="BZ365" s="173"/>
      <c r="CA365" s="173"/>
      <c r="CB365" s="173"/>
      <c r="CC365" s="173"/>
      <c r="CD365" s="173"/>
      <c r="CE365" s="173"/>
      <c r="CF365" s="173"/>
      <c r="CG365" s="173"/>
      <c r="CH365" s="173"/>
      <c r="CI365" s="173"/>
      <c r="CJ365" s="173"/>
      <c r="CK365" s="173"/>
      <c r="CL365" s="173"/>
    </row>
    <row r="366" spans="1:90">
      <c r="A366" s="181"/>
      <c r="B366" s="181"/>
      <c r="C366" s="181"/>
      <c r="D366" s="181"/>
      <c r="E366" s="181"/>
      <c r="F366" s="181"/>
      <c r="G366" s="181"/>
      <c r="H366" s="181"/>
      <c r="I366" s="181"/>
      <c r="J366" s="181"/>
      <c r="K366" s="254"/>
      <c r="L366" s="181"/>
      <c r="M366" s="181"/>
      <c r="N366" s="181"/>
      <c r="O366" s="181"/>
      <c r="P366" s="181"/>
      <c r="Q366" s="181"/>
      <c r="R366" s="181"/>
      <c r="S366" s="181"/>
      <c r="T366" s="181"/>
      <c r="U366" s="181"/>
      <c r="V366" s="181"/>
      <c r="W366" s="181"/>
      <c r="X366" s="181"/>
      <c r="Y366" s="181"/>
      <c r="Z366" s="181"/>
      <c r="AA366" s="181"/>
      <c r="AB366" s="181"/>
      <c r="AC366" s="181"/>
      <c r="AD366" s="181"/>
      <c r="AE366" s="181"/>
      <c r="AF366" s="181"/>
      <c r="AG366" s="181"/>
      <c r="AH366" s="181"/>
      <c r="AI366" s="181"/>
      <c r="AJ366" s="181"/>
      <c r="AK366" s="181"/>
      <c r="AL366" s="181"/>
      <c r="AM366" s="181"/>
      <c r="AN366" s="181"/>
      <c r="AO366" s="181"/>
      <c r="AP366" s="181"/>
      <c r="AQ366" s="181"/>
      <c r="AR366" s="181"/>
      <c r="AS366" s="181"/>
      <c r="AT366" s="181"/>
      <c r="AU366" s="181"/>
      <c r="AV366" s="181"/>
      <c r="AW366" s="181"/>
      <c r="AX366" s="181"/>
      <c r="AY366" s="181"/>
      <c r="AZ366" s="181"/>
      <c r="BA366" s="181"/>
      <c r="BB366" s="181"/>
      <c r="BC366" s="173"/>
      <c r="BD366" s="173"/>
      <c r="BE366" s="173"/>
      <c r="BF366" s="173"/>
      <c r="BG366" s="173"/>
      <c r="BH366" s="173"/>
      <c r="BI366" s="173"/>
      <c r="BJ366" s="173"/>
      <c r="BK366" s="173"/>
      <c r="BL366" s="173"/>
      <c r="BM366" s="173"/>
      <c r="BN366" s="181"/>
      <c r="BO366" s="181"/>
      <c r="BP366" s="181"/>
      <c r="BQ366" s="181"/>
      <c r="BR366" s="181"/>
      <c r="BS366" s="181"/>
      <c r="BT366" s="181"/>
      <c r="BU366" s="173"/>
      <c r="BV366" s="173"/>
      <c r="BW366" s="173"/>
      <c r="BX366" s="173"/>
      <c r="BY366" s="173"/>
      <c r="BZ366" s="173"/>
      <c r="CA366" s="173"/>
      <c r="CB366" s="173"/>
      <c r="CC366" s="173"/>
      <c r="CD366" s="173"/>
      <c r="CE366" s="173"/>
      <c r="CF366" s="173"/>
      <c r="CG366" s="173"/>
      <c r="CH366" s="173"/>
      <c r="CI366" s="173"/>
      <c r="CJ366" s="173"/>
      <c r="CK366" s="173"/>
      <c r="CL366" s="173"/>
    </row>
    <row r="367" spans="1:90">
      <c r="A367" s="181"/>
      <c r="B367" s="181"/>
      <c r="C367" s="181"/>
      <c r="D367" s="181"/>
      <c r="E367" s="181"/>
      <c r="F367" s="181"/>
      <c r="G367" s="181"/>
      <c r="H367" s="181"/>
      <c r="I367" s="181"/>
      <c r="J367" s="181"/>
      <c r="K367" s="254"/>
      <c r="L367" s="181"/>
      <c r="M367" s="181"/>
      <c r="N367" s="181"/>
      <c r="O367" s="181"/>
      <c r="P367" s="181"/>
      <c r="Q367" s="181"/>
      <c r="R367" s="181"/>
      <c r="S367" s="181"/>
      <c r="T367" s="181"/>
      <c r="U367" s="181"/>
      <c r="V367" s="181"/>
      <c r="W367" s="181"/>
      <c r="X367" s="181"/>
      <c r="Y367" s="181"/>
      <c r="Z367" s="181"/>
      <c r="AA367" s="181"/>
      <c r="AB367" s="181"/>
      <c r="AC367" s="181"/>
      <c r="AD367" s="181"/>
      <c r="AE367" s="181"/>
      <c r="AF367" s="181"/>
      <c r="AG367" s="181"/>
      <c r="AH367" s="181"/>
      <c r="AI367" s="181"/>
      <c r="AJ367" s="181"/>
      <c r="AK367" s="181"/>
      <c r="AL367" s="181"/>
      <c r="AM367" s="181"/>
      <c r="AN367" s="181"/>
      <c r="AO367" s="181"/>
      <c r="AP367" s="181"/>
      <c r="AQ367" s="181"/>
      <c r="AR367" s="181"/>
      <c r="AS367" s="181"/>
      <c r="AT367" s="181"/>
      <c r="AU367" s="181"/>
      <c r="AV367" s="181"/>
      <c r="AW367" s="181"/>
      <c r="AX367" s="181"/>
      <c r="AY367" s="181"/>
      <c r="AZ367" s="181"/>
      <c r="BA367" s="181"/>
      <c r="BB367" s="181"/>
      <c r="BC367" s="173"/>
      <c r="BD367" s="173"/>
      <c r="BE367" s="173"/>
      <c r="BF367" s="173"/>
      <c r="BG367" s="173"/>
      <c r="BH367" s="173"/>
      <c r="BI367" s="173"/>
      <c r="BJ367" s="173"/>
      <c r="BK367" s="173"/>
      <c r="BL367" s="173"/>
      <c r="BM367" s="173"/>
      <c r="BN367" s="181"/>
      <c r="BO367" s="181"/>
      <c r="BP367" s="181"/>
      <c r="BQ367" s="181"/>
      <c r="BR367" s="181"/>
      <c r="BS367" s="181"/>
      <c r="BT367" s="181"/>
      <c r="BU367" s="173"/>
      <c r="BV367" s="173"/>
      <c r="BW367" s="173"/>
      <c r="BX367" s="173"/>
      <c r="BY367" s="173"/>
      <c r="BZ367" s="173"/>
      <c r="CA367" s="173"/>
      <c r="CB367" s="173"/>
      <c r="CC367" s="173"/>
      <c r="CD367" s="173"/>
      <c r="CE367" s="173"/>
      <c r="CF367" s="173"/>
      <c r="CG367" s="173"/>
      <c r="CH367" s="173"/>
      <c r="CI367" s="173"/>
      <c r="CJ367" s="173"/>
      <c r="CK367" s="173"/>
      <c r="CL367" s="173"/>
    </row>
    <row r="368" spans="1:90">
      <c r="A368" s="181"/>
      <c r="B368" s="181"/>
      <c r="C368" s="181"/>
      <c r="D368" s="181"/>
      <c r="E368" s="181"/>
      <c r="F368" s="181"/>
      <c r="G368" s="181"/>
      <c r="H368" s="181"/>
      <c r="I368" s="181"/>
      <c r="J368" s="181"/>
      <c r="K368" s="254"/>
      <c r="L368" s="181"/>
      <c r="M368" s="181"/>
      <c r="N368" s="181"/>
      <c r="O368" s="181"/>
      <c r="P368" s="181"/>
      <c r="Q368" s="181"/>
      <c r="R368" s="181"/>
      <c r="S368" s="181"/>
      <c r="T368" s="181"/>
      <c r="U368" s="181"/>
      <c r="V368" s="181"/>
      <c r="W368" s="181"/>
      <c r="X368" s="181"/>
      <c r="Y368" s="181"/>
      <c r="Z368" s="181"/>
      <c r="AA368" s="181"/>
      <c r="AB368" s="181"/>
      <c r="AC368" s="181"/>
      <c r="AD368" s="181"/>
      <c r="AE368" s="181"/>
      <c r="AF368" s="181"/>
      <c r="AG368" s="181"/>
      <c r="AH368" s="181"/>
      <c r="AI368" s="181"/>
      <c r="AJ368" s="181"/>
      <c r="AK368" s="181"/>
      <c r="AL368" s="181"/>
      <c r="AM368" s="181"/>
      <c r="AN368" s="181"/>
      <c r="AO368" s="181"/>
      <c r="AP368" s="181"/>
      <c r="AQ368" s="181"/>
      <c r="AR368" s="181"/>
      <c r="AS368" s="181"/>
      <c r="AT368" s="181"/>
      <c r="AU368" s="181"/>
      <c r="AV368" s="181"/>
      <c r="AW368" s="181"/>
      <c r="AX368" s="181"/>
      <c r="AY368" s="181"/>
      <c r="AZ368" s="181"/>
      <c r="BA368" s="181"/>
      <c r="BB368" s="181"/>
      <c r="BC368" s="173"/>
      <c r="BD368" s="173"/>
      <c r="BE368" s="173"/>
      <c r="BF368" s="173"/>
      <c r="BG368" s="173"/>
      <c r="BH368" s="173"/>
      <c r="BI368" s="173"/>
      <c r="BJ368" s="173"/>
      <c r="BK368" s="173"/>
      <c r="BL368" s="173"/>
      <c r="BM368" s="173"/>
      <c r="BN368" s="181"/>
      <c r="BO368" s="181"/>
      <c r="BP368" s="181"/>
      <c r="BQ368" s="181"/>
      <c r="BR368" s="181"/>
      <c r="BS368" s="181"/>
      <c r="BT368" s="181"/>
      <c r="BU368" s="173"/>
      <c r="BV368" s="173"/>
      <c r="BW368" s="173"/>
      <c r="BX368" s="173"/>
      <c r="BY368" s="173"/>
      <c r="BZ368" s="173"/>
      <c r="CA368" s="173"/>
      <c r="CB368" s="173"/>
      <c r="CC368" s="173"/>
      <c r="CD368" s="173"/>
      <c r="CE368" s="173"/>
      <c r="CF368" s="173"/>
      <c r="CG368" s="173"/>
      <c r="CH368" s="173"/>
      <c r="CI368" s="173"/>
      <c r="CJ368" s="173"/>
      <c r="CK368" s="173"/>
      <c r="CL368" s="173"/>
    </row>
    <row r="369" spans="1:90">
      <c r="A369" s="181"/>
      <c r="B369" s="181"/>
      <c r="C369" s="181"/>
      <c r="D369" s="181"/>
      <c r="E369" s="181"/>
      <c r="F369" s="181"/>
      <c r="G369" s="181"/>
      <c r="H369" s="181"/>
      <c r="I369" s="181"/>
      <c r="J369" s="181"/>
      <c r="K369" s="254"/>
      <c r="L369" s="181"/>
      <c r="M369" s="181"/>
      <c r="N369" s="181"/>
      <c r="O369" s="181"/>
      <c r="P369" s="181"/>
      <c r="Q369" s="181"/>
      <c r="R369" s="181"/>
      <c r="S369" s="181"/>
      <c r="T369" s="181"/>
      <c r="U369" s="181"/>
      <c r="V369" s="181"/>
      <c r="W369" s="181"/>
      <c r="X369" s="181"/>
      <c r="Y369" s="181"/>
      <c r="Z369" s="181"/>
      <c r="AA369" s="181"/>
      <c r="AB369" s="181"/>
      <c r="AC369" s="181"/>
      <c r="AD369" s="181"/>
      <c r="AE369" s="181"/>
      <c r="AF369" s="181"/>
      <c r="AG369" s="181"/>
      <c r="AH369" s="181"/>
      <c r="AI369" s="181"/>
      <c r="AJ369" s="181"/>
      <c r="AK369" s="181"/>
      <c r="AL369" s="181"/>
      <c r="AM369" s="181"/>
      <c r="AN369" s="181"/>
      <c r="AO369" s="181"/>
      <c r="AP369" s="181"/>
      <c r="AQ369" s="181"/>
      <c r="AR369" s="181"/>
      <c r="AS369" s="181"/>
      <c r="AT369" s="181"/>
      <c r="AU369" s="181"/>
      <c r="AV369" s="181"/>
      <c r="AW369" s="181"/>
      <c r="AX369" s="181"/>
      <c r="AY369" s="181"/>
      <c r="AZ369" s="181"/>
      <c r="BA369" s="181"/>
      <c r="BB369" s="181"/>
      <c r="BC369" s="173"/>
      <c r="BD369" s="173"/>
      <c r="BE369" s="173"/>
      <c r="BF369" s="173"/>
      <c r="BG369" s="173"/>
      <c r="BH369" s="173"/>
      <c r="BI369" s="173"/>
      <c r="BJ369" s="173"/>
      <c r="BK369" s="173"/>
      <c r="BL369" s="173"/>
      <c r="BM369" s="173"/>
      <c r="BN369" s="181"/>
      <c r="BO369" s="181"/>
      <c r="BP369" s="181"/>
      <c r="BQ369" s="181"/>
      <c r="BR369" s="181"/>
      <c r="BS369" s="181"/>
      <c r="BT369" s="181"/>
      <c r="BU369" s="173"/>
      <c r="BV369" s="173"/>
      <c r="BW369" s="173"/>
      <c r="BX369" s="173"/>
      <c r="BY369" s="173"/>
      <c r="BZ369" s="173"/>
      <c r="CA369" s="173"/>
      <c r="CB369" s="173"/>
      <c r="CC369" s="173"/>
      <c r="CD369" s="173"/>
      <c r="CE369" s="173"/>
      <c r="CF369" s="173"/>
      <c r="CG369" s="173"/>
      <c r="CH369" s="173"/>
      <c r="CI369" s="173"/>
      <c r="CJ369" s="173"/>
      <c r="CK369" s="173"/>
      <c r="CL369" s="173"/>
    </row>
    <row r="370" spans="1:90">
      <c r="A370" s="181"/>
      <c r="B370" s="181"/>
      <c r="C370" s="181"/>
      <c r="D370" s="181"/>
      <c r="E370" s="181"/>
      <c r="F370" s="181"/>
      <c r="G370" s="181"/>
      <c r="H370" s="181"/>
      <c r="I370" s="181"/>
      <c r="J370" s="181"/>
      <c r="K370" s="254"/>
      <c r="L370" s="181"/>
      <c r="M370" s="181"/>
      <c r="N370" s="181"/>
      <c r="O370" s="181"/>
      <c r="P370" s="181"/>
      <c r="Q370" s="181"/>
      <c r="R370" s="181"/>
      <c r="S370" s="181"/>
      <c r="T370" s="181"/>
      <c r="U370" s="181"/>
      <c r="V370" s="181"/>
      <c r="W370" s="181"/>
      <c r="X370" s="181"/>
      <c r="Y370" s="181"/>
      <c r="Z370" s="181"/>
      <c r="AA370" s="181"/>
      <c r="AB370" s="181"/>
      <c r="AC370" s="181"/>
      <c r="AD370" s="181"/>
      <c r="AE370" s="181"/>
      <c r="AF370" s="181"/>
      <c r="AG370" s="181"/>
      <c r="AH370" s="181"/>
      <c r="AI370" s="181"/>
      <c r="AJ370" s="181"/>
      <c r="AK370" s="181"/>
      <c r="AL370" s="181"/>
      <c r="AM370" s="181"/>
      <c r="AN370" s="181"/>
      <c r="AO370" s="181"/>
      <c r="AP370" s="181"/>
      <c r="AQ370" s="181"/>
      <c r="AR370" s="181"/>
      <c r="AS370" s="181"/>
      <c r="AT370" s="181"/>
      <c r="AU370" s="181"/>
      <c r="AV370" s="181"/>
      <c r="AW370" s="181"/>
      <c r="AX370" s="181"/>
      <c r="AY370" s="181"/>
      <c r="AZ370" s="181"/>
      <c r="BA370" s="181"/>
      <c r="BB370" s="181"/>
      <c r="BC370" s="173"/>
      <c r="BD370" s="173"/>
      <c r="BE370" s="173"/>
      <c r="BF370" s="173"/>
      <c r="BG370" s="173"/>
      <c r="BH370" s="173"/>
      <c r="BI370" s="173"/>
      <c r="BJ370" s="173"/>
      <c r="BK370" s="173"/>
      <c r="BL370" s="173"/>
      <c r="BM370" s="173"/>
      <c r="BN370" s="181"/>
      <c r="BO370" s="181"/>
      <c r="BP370" s="181"/>
      <c r="BQ370" s="181"/>
      <c r="BR370" s="181"/>
      <c r="BS370" s="181"/>
      <c r="BT370" s="181"/>
      <c r="BU370" s="173"/>
      <c r="BV370" s="173"/>
      <c r="BW370" s="173"/>
      <c r="BX370" s="173"/>
      <c r="BY370" s="173"/>
      <c r="BZ370" s="173"/>
      <c r="CA370" s="173"/>
      <c r="CB370" s="173"/>
      <c r="CC370" s="173"/>
      <c r="CD370" s="173"/>
      <c r="CE370" s="173"/>
      <c r="CF370" s="173"/>
      <c r="CG370" s="173"/>
      <c r="CH370" s="173"/>
      <c r="CI370" s="173"/>
      <c r="CJ370" s="173"/>
      <c r="CK370" s="173"/>
      <c r="CL370" s="173"/>
    </row>
    <row r="371" spans="1:90">
      <c r="A371" s="181"/>
      <c r="B371" s="181"/>
      <c r="C371" s="181"/>
      <c r="D371" s="181"/>
      <c r="E371" s="181"/>
      <c r="F371" s="181"/>
      <c r="G371" s="181"/>
      <c r="H371" s="181"/>
      <c r="I371" s="181"/>
      <c r="J371" s="181"/>
      <c r="K371" s="254"/>
      <c r="L371" s="181"/>
      <c r="M371" s="181"/>
      <c r="N371" s="181"/>
      <c r="O371" s="181"/>
      <c r="P371" s="181"/>
      <c r="Q371" s="181"/>
      <c r="R371" s="181"/>
      <c r="S371" s="181"/>
      <c r="T371" s="181"/>
      <c r="U371" s="181"/>
      <c r="V371" s="181"/>
      <c r="W371" s="181"/>
      <c r="X371" s="181"/>
      <c r="Y371" s="181"/>
      <c r="Z371" s="181"/>
      <c r="AA371" s="181"/>
      <c r="AB371" s="181"/>
      <c r="AC371" s="181"/>
      <c r="AD371" s="181"/>
      <c r="AE371" s="181"/>
      <c r="AF371" s="181"/>
      <c r="AG371" s="181"/>
      <c r="AH371" s="181"/>
      <c r="AI371" s="181"/>
      <c r="AJ371" s="181"/>
      <c r="AK371" s="181"/>
      <c r="AL371" s="181"/>
      <c r="AM371" s="181"/>
      <c r="AN371" s="181"/>
      <c r="AO371" s="181"/>
      <c r="AP371" s="181"/>
      <c r="AQ371" s="181"/>
      <c r="AR371" s="181"/>
      <c r="AS371" s="181"/>
      <c r="AT371" s="181"/>
      <c r="AU371" s="181"/>
      <c r="AV371" s="181"/>
      <c r="AW371" s="181"/>
      <c r="AX371" s="181"/>
      <c r="AY371" s="181"/>
      <c r="AZ371" s="181"/>
      <c r="BA371" s="181"/>
      <c r="BB371" s="181"/>
      <c r="BC371" s="173"/>
      <c r="BD371" s="173"/>
      <c r="BE371" s="173"/>
      <c r="BF371" s="173"/>
      <c r="BG371" s="173"/>
      <c r="BH371" s="173"/>
      <c r="BI371" s="173"/>
      <c r="BJ371" s="173"/>
      <c r="BK371" s="173"/>
      <c r="BL371" s="173"/>
      <c r="BM371" s="173"/>
      <c r="BN371" s="181"/>
      <c r="BO371" s="181"/>
      <c r="BP371" s="181"/>
      <c r="BQ371" s="181"/>
      <c r="BR371" s="181"/>
      <c r="BS371" s="181"/>
      <c r="BT371" s="181"/>
      <c r="BU371" s="173"/>
      <c r="BV371" s="173"/>
      <c r="BW371" s="173"/>
      <c r="BX371" s="173"/>
      <c r="BY371" s="173"/>
      <c r="BZ371" s="173"/>
      <c r="CA371" s="173"/>
      <c r="CB371" s="173"/>
      <c r="CC371" s="173"/>
      <c r="CD371" s="173"/>
      <c r="CE371" s="173"/>
      <c r="CF371" s="173"/>
      <c r="CG371" s="173"/>
      <c r="CH371" s="173"/>
      <c r="CI371" s="173"/>
      <c r="CJ371" s="173"/>
      <c r="CK371" s="173"/>
      <c r="CL371" s="173"/>
    </row>
    <row r="372" spans="1:90">
      <c r="A372" s="181"/>
      <c r="B372" s="181"/>
      <c r="C372" s="181"/>
      <c r="D372" s="181"/>
      <c r="E372" s="181"/>
      <c r="F372" s="181"/>
      <c r="G372" s="181"/>
      <c r="H372" s="181"/>
      <c r="I372" s="181"/>
      <c r="J372" s="181"/>
      <c r="K372" s="254"/>
      <c r="L372" s="181"/>
      <c r="M372" s="181"/>
      <c r="N372" s="181"/>
      <c r="O372" s="181"/>
      <c r="P372" s="181"/>
      <c r="Q372" s="181"/>
      <c r="R372" s="181"/>
      <c r="S372" s="181"/>
      <c r="T372" s="181"/>
      <c r="U372" s="181"/>
      <c r="V372" s="181"/>
      <c r="W372" s="181"/>
      <c r="X372" s="181"/>
      <c r="Y372" s="181"/>
      <c r="Z372" s="181"/>
      <c r="AA372" s="181"/>
      <c r="AB372" s="181"/>
      <c r="AC372" s="181"/>
      <c r="AD372" s="181"/>
      <c r="AE372" s="181"/>
      <c r="AF372" s="181"/>
      <c r="AG372" s="181"/>
      <c r="AH372" s="181"/>
      <c r="AI372" s="181"/>
      <c r="AJ372" s="181"/>
      <c r="AK372" s="181"/>
      <c r="AL372" s="181"/>
      <c r="AM372" s="181"/>
      <c r="AN372" s="181"/>
      <c r="AO372" s="181"/>
      <c r="AP372" s="181"/>
      <c r="AQ372" s="181"/>
      <c r="AR372" s="181"/>
      <c r="AS372" s="181"/>
      <c r="AT372" s="181"/>
      <c r="AU372" s="181"/>
      <c r="AV372" s="181"/>
      <c r="AW372" s="181"/>
      <c r="AX372" s="181"/>
      <c r="AY372" s="181"/>
      <c r="AZ372" s="181"/>
      <c r="BA372" s="181"/>
      <c r="BB372" s="181"/>
      <c r="BC372" s="173"/>
      <c r="BD372" s="173"/>
      <c r="BE372" s="173"/>
      <c r="BF372" s="173"/>
      <c r="BG372" s="173"/>
      <c r="BH372" s="173"/>
      <c r="BI372" s="173"/>
      <c r="BJ372" s="173"/>
      <c r="BK372" s="173"/>
      <c r="BL372" s="173"/>
      <c r="BM372" s="173"/>
      <c r="BN372" s="181"/>
      <c r="BO372" s="181"/>
      <c r="BP372" s="181"/>
      <c r="BQ372" s="181"/>
      <c r="BR372" s="181"/>
      <c r="BS372" s="181"/>
      <c r="BT372" s="181"/>
      <c r="BU372" s="173"/>
      <c r="BV372" s="173"/>
      <c r="BW372" s="173"/>
      <c r="BX372" s="173"/>
      <c r="BY372" s="173"/>
      <c r="BZ372" s="173"/>
      <c r="CA372" s="173"/>
      <c r="CB372" s="173"/>
      <c r="CC372" s="173"/>
      <c r="CD372" s="173"/>
      <c r="CE372" s="173"/>
      <c r="CF372" s="173"/>
      <c r="CG372" s="173"/>
      <c r="CH372" s="173"/>
      <c r="CI372" s="173"/>
      <c r="CJ372" s="173"/>
      <c r="CK372" s="173"/>
      <c r="CL372" s="173"/>
    </row>
    <row r="373" spans="1:90">
      <c r="A373" s="181"/>
      <c r="B373" s="181"/>
      <c r="C373" s="181"/>
      <c r="D373" s="181"/>
      <c r="E373" s="181"/>
      <c r="F373" s="181"/>
      <c r="G373" s="181"/>
      <c r="H373" s="181"/>
      <c r="I373" s="181"/>
      <c r="J373" s="181"/>
      <c r="K373" s="254"/>
      <c r="L373" s="181"/>
      <c r="M373" s="181"/>
      <c r="N373" s="181"/>
      <c r="O373" s="181"/>
      <c r="P373" s="181"/>
      <c r="Q373" s="181"/>
      <c r="R373" s="181"/>
      <c r="S373" s="181"/>
      <c r="T373" s="181"/>
      <c r="U373" s="181"/>
      <c r="V373" s="181"/>
      <c r="W373" s="181"/>
      <c r="X373" s="181"/>
      <c r="Y373" s="181"/>
      <c r="Z373" s="181"/>
      <c r="AA373" s="181"/>
      <c r="AB373" s="181"/>
      <c r="AC373" s="181"/>
      <c r="AD373" s="181"/>
      <c r="AE373" s="181"/>
      <c r="AF373" s="181"/>
      <c r="AG373" s="181"/>
      <c r="AH373" s="181"/>
      <c r="AI373" s="181"/>
      <c r="AJ373" s="181"/>
      <c r="AK373" s="181"/>
      <c r="AL373" s="181"/>
      <c r="AM373" s="181"/>
      <c r="AN373" s="181"/>
      <c r="AO373" s="181"/>
      <c r="AP373" s="181"/>
      <c r="AQ373" s="181"/>
      <c r="AR373" s="181"/>
      <c r="AS373" s="181"/>
      <c r="AT373" s="181"/>
      <c r="AU373" s="181"/>
      <c r="AV373" s="181"/>
      <c r="AW373" s="181"/>
      <c r="AX373" s="181"/>
      <c r="AY373" s="181"/>
      <c r="AZ373" s="181"/>
      <c r="BA373" s="181"/>
      <c r="BB373" s="181"/>
      <c r="BC373" s="173"/>
      <c r="BD373" s="173"/>
      <c r="BE373" s="173"/>
      <c r="BF373" s="173"/>
      <c r="BG373" s="173"/>
      <c r="BH373" s="173"/>
      <c r="BI373" s="173"/>
      <c r="BJ373" s="173"/>
      <c r="BK373" s="173"/>
      <c r="BL373" s="173"/>
      <c r="BM373" s="173"/>
      <c r="BN373" s="181"/>
      <c r="BO373" s="181"/>
      <c r="BP373" s="181"/>
      <c r="BQ373" s="181"/>
      <c r="BR373" s="181"/>
      <c r="BS373" s="181"/>
      <c r="BT373" s="181"/>
      <c r="BU373" s="173"/>
      <c r="BV373" s="173"/>
      <c r="BW373" s="173"/>
      <c r="BX373" s="173"/>
      <c r="BY373" s="173"/>
      <c r="BZ373" s="173"/>
      <c r="CA373" s="173"/>
      <c r="CB373" s="173"/>
      <c r="CC373" s="173"/>
      <c r="CD373" s="173"/>
      <c r="CE373" s="173"/>
      <c r="CF373" s="173"/>
      <c r="CG373" s="173"/>
      <c r="CH373" s="173"/>
      <c r="CI373" s="173"/>
      <c r="CJ373" s="173"/>
      <c r="CK373" s="173"/>
      <c r="CL373" s="173"/>
    </row>
    <row r="374" spans="1:90">
      <c r="A374" s="181"/>
      <c r="B374" s="181"/>
      <c r="C374" s="181"/>
      <c r="D374" s="181"/>
      <c r="E374" s="181"/>
      <c r="F374" s="181"/>
      <c r="G374" s="181"/>
      <c r="H374" s="181"/>
      <c r="I374" s="181"/>
      <c r="J374" s="181"/>
      <c r="K374" s="254"/>
      <c r="L374" s="181"/>
      <c r="M374" s="181"/>
      <c r="N374" s="181"/>
      <c r="O374" s="181"/>
      <c r="P374" s="181"/>
      <c r="Q374" s="181"/>
      <c r="R374" s="181"/>
      <c r="S374" s="181"/>
      <c r="T374" s="181"/>
      <c r="U374" s="181"/>
      <c r="V374" s="181"/>
      <c r="W374" s="181"/>
      <c r="X374" s="181"/>
      <c r="Y374" s="181"/>
      <c r="Z374" s="181"/>
      <c r="AA374" s="181"/>
      <c r="AB374" s="181"/>
      <c r="AC374" s="181"/>
      <c r="AD374" s="181"/>
      <c r="AE374" s="181"/>
      <c r="AF374" s="181"/>
      <c r="AG374" s="181"/>
      <c r="AH374" s="181"/>
      <c r="AI374" s="181"/>
      <c r="AJ374" s="181"/>
      <c r="AK374" s="181"/>
      <c r="AL374" s="181"/>
      <c r="AM374" s="181"/>
      <c r="AN374" s="181"/>
      <c r="AO374" s="181"/>
      <c r="AP374" s="181"/>
      <c r="AQ374" s="181"/>
      <c r="AR374" s="181"/>
      <c r="AS374" s="181"/>
      <c r="AT374" s="181"/>
      <c r="AU374" s="181"/>
      <c r="AV374" s="181"/>
      <c r="AW374" s="181"/>
      <c r="AX374" s="181"/>
      <c r="AY374" s="181"/>
      <c r="AZ374" s="181"/>
      <c r="BA374" s="181"/>
      <c r="BB374" s="181"/>
      <c r="BC374" s="173"/>
      <c r="BD374" s="173"/>
      <c r="BE374" s="173"/>
      <c r="BF374" s="173"/>
      <c r="BG374" s="173"/>
      <c r="BH374" s="173"/>
      <c r="BI374" s="173"/>
      <c r="BJ374" s="173"/>
      <c r="BK374" s="173"/>
      <c r="BL374" s="173"/>
      <c r="BM374" s="173"/>
      <c r="BN374" s="181"/>
      <c r="BO374" s="181"/>
      <c r="BP374" s="181"/>
      <c r="BQ374" s="181"/>
      <c r="BR374" s="181"/>
      <c r="BS374" s="181"/>
      <c r="BT374" s="181"/>
      <c r="BU374" s="173"/>
      <c r="BV374" s="173"/>
      <c r="BW374" s="173"/>
      <c r="BX374" s="173"/>
      <c r="BY374" s="173"/>
      <c r="BZ374" s="173"/>
      <c r="CA374" s="173"/>
      <c r="CB374" s="173"/>
      <c r="CC374" s="173"/>
      <c r="CD374" s="173"/>
      <c r="CE374" s="173"/>
      <c r="CF374" s="173"/>
      <c r="CG374" s="173"/>
      <c r="CH374" s="173"/>
      <c r="CI374" s="173"/>
      <c r="CJ374" s="173"/>
      <c r="CK374" s="173"/>
      <c r="CL374" s="173"/>
    </row>
    <row r="375" spans="1:90">
      <c r="A375" s="181"/>
      <c r="B375" s="181"/>
      <c r="C375" s="181"/>
      <c r="D375" s="181"/>
      <c r="E375" s="181"/>
      <c r="F375" s="181"/>
      <c r="G375" s="181"/>
      <c r="H375" s="181"/>
      <c r="I375" s="181"/>
      <c r="J375" s="181"/>
      <c r="K375" s="254"/>
      <c r="L375" s="181"/>
      <c r="M375" s="181"/>
      <c r="N375" s="181"/>
      <c r="O375" s="181"/>
      <c r="P375" s="181"/>
      <c r="Q375" s="181"/>
      <c r="R375" s="181"/>
      <c r="S375" s="181"/>
      <c r="T375" s="181"/>
      <c r="U375" s="181"/>
      <c r="V375" s="181"/>
      <c r="W375" s="181"/>
      <c r="X375" s="181"/>
      <c r="Y375" s="181"/>
      <c r="Z375" s="181"/>
      <c r="AA375" s="181"/>
      <c r="AB375" s="181"/>
      <c r="AC375" s="181"/>
      <c r="AD375" s="181"/>
      <c r="AE375" s="181"/>
      <c r="AF375" s="181"/>
      <c r="AG375" s="181"/>
      <c r="AH375" s="181"/>
      <c r="AI375" s="181"/>
      <c r="AJ375" s="181"/>
      <c r="AK375" s="181"/>
      <c r="AL375" s="181"/>
      <c r="AM375" s="181"/>
      <c r="AN375" s="181"/>
      <c r="AO375" s="181"/>
      <c r="AP375" s="181"/>
      <c r="AQ375" s="181"/>
      <c r="AR375" s="181"/>
      <c r="AS375" s="181"/>
      <c r="AT375" s="181"/>
      <c r="AU375" s="181"/>
      <c r="AV375" s="181"/>
      <c r="AW375" s="181"/>
      <c r="AX375" s="181"/>
      <c r="AY375" s="181"/>
      <c r="AZ375" s="181"/>
      <c r="BA375" s="181"/>
      <c r="BB375" s="181"/>
      <c r="BC375" s="173"/>
      <c r="BD375" s="173"/>
      <c r="BE375" s="173"/>
      <c r="BF375" s="173"/>
      <c r="BG375" s="173"/>
      <c r="BH375" s="173"/>
      <c r="BI375" s="173"/>
      <c r="BJ375" s="173"/>
      <c r="BK375" s="173"/>
      <c r="BL375" s="173"/>
      <c r="BM375" s="173"/>
      <c r="BN375" s="181"/>
      <c r="BO375" s="181"/>
      <c r="BP375" s="181"/>
      <c r="BQ375" s="181"/>
      <c r="BR375" s="181"/>
      <c r="BS375" s="181"/>
      <c r="BT375" s="181"/>
      <c r="BU375" s="173"/>
      <c r="BV375" s="173"/>
      <c r="BW375" s="173"/>
      <c r="BX375" s="173"/>
      <c r="BY375" s="173"/>
      <c r="BZ375" s="173"/>
      <c r="CA375" s="173"/>
      <c r="CB375" s="173"/>
      <c r="CC375" s="173"/>
      <c r="CD375" s="173"/>
      <c r="CE375" s="173"/>
      <c r="CF375" s="173"/>
      <c r="CG375" s="173"/>
      <c r="CH375" s="173"/>
      <c r="CI375" s="173"/>
      <c r="CJ375" s="173"/>
      <c r="CK375" s="173"/>
      <c r="CL375" s="173"/>
    </row>
    <row r="376" spans="1:90">
      <c r="A376" s="181"/>
      <c r="B376" s="181"/>
      <c r="C376" s="181"/>
      <c r="D376" s="181"/>
      <c r="E376" s="181"/>
      <c r="F376" s="181"/>
      <c r="G376" s="181"/>
      <c r="H376" s="181"/>
      <c r="I376" s="181"/>
      <c r="J376" s="181"/>
      <c r="K376" s="254"/>
      <c r="L376" s="181"/>
      <c r="M376" s="181"/>
      <c r="N376" s="181"/>
      <c r="O376" s="181"/>
      <c r="P376" s="181"/>
      <c r="Q376" s="181"/>
      <c r="R376" s="181"/>
      <c r="S376" s="181"/>
      <c r="T376" s="181"/>
      <c r="U376" s="181"/>
      <c r="V376" s="181"/>
      <c r="W376" s="181"/>
      <c r="X376" s="181"/>
      <c r="Y376" s="181"/>
      <c r="Z376" s="181"/>
      <c r="AA376" s="181"/>
      <c r="AB376" s="181"/>
      <c r="AC376" s="181"/>
      <c r="AD376" s="181"/>
      <c r="AE376" s="181"/>
      <c r="AF376" s="181"/>
      <c r="AG376" s="181"/>
      <c r="AH376" s="181"/>
      <c r="AI376" s="181"/>
      <c r="AJ376" s="181"/>
      <c r="AK376" s="181"/>
      <c r="AL376" s="181"/>
      <c r="AM376" s="181"/>
      <c r="AN376" s="181"/>
      <c r="AO376" s="181"/>
      <c r="AP376" s="181"/>
      <c r="AQ376" s="181"/>
      <c r="AR376" s="181"/>
      <c r="AS376" s="181"/>
      <c r="AT376" s="181"/>
      <c r="AU376" s="181"/>
      <c r="AV376" s="181"/>
      <c r="AW376" s="181"/>
      <c r="AX376" s="181"/>
      <c r="AY376" s="181"/>
      <c r="AZ376" s="181"/>
      <c r="BA376" s="181"/>
      <c r="BB376" s="181"/>
      <c r="BC376" s="173"/>
      <c r="BD376" s="173"/>
      <c r="BE376" s="173"/>
      <c r="BF376" s="173"/>
      <c r="BG376" s="173"/>
      <c r="BH376" s="173"/>
      <c r="BI376" s="173"/>
      <c r="BJ376" s="173"/>
      <c r="BK376" s="173"/>
      <c r="BL376" s="173"/>
      <c r="BM376" s="173"/>
      <c r="BN376" s="181"/>
      <c r="BO376" s="181"/>
      <c r="BP376" s="181"/>
      <c r="BQ376" s="181"/>
      <c r="BR376" s="181"/>
      <c r="BS376" s="181"/>
      <c r="BT376" s="181"/>
      <c r="BU376" s="173"/>
      <c r="BV376" s="173"/>
      <c r="BW376" s="173"/>
      <c r="BX376" s="173"/>
      <c r="BY376" s="173"/>
      <c r="BZ376" s="173"/>
      <c r="CA376" s="173"/>
      <c r="CB376" s="173"/>
      <c r="CC376" s="173"/>
      <c r="CD376" s="173"/>
      <c r="CE376" s="173"/>
      <c r="CF376" s="173"/>
      <c r="CG376" s="173"/>
      <c r="CH376" s="173"/>
      <c r="CI376" s="173"/>
      <c r="CJ376" s="173"/>
      <c r="CK376" s="173"/>
      <c r="CL376" s="173"/>
    </row>
    <row r="377" spans="1:90">
      <c r="A377" s="181"/>
      <c r="B377" s="181"/>
      <c r="C377" s="181"/>
      <c r="D377" s="181"/>
      <c r="E377" s="181"/>
      <c r="F377" s="181"/>
      <c r="G377" s="181"/>
      <c r="H377" s="181"/>
      <c r="I377" s="181"/>
      <c r="J377" s="181"/>
      <c r="K377" s="254"/>
      <c r="L377" s="181"/>
      <c r="M377" s="181"/>
      <c r="N377" s="181"/>
      <c r="O377" s="181"/>
      <c r="P377" s="181"/>
      <c r="Q377" s="181"/>
      <c r="R377" s="181"/>
      <c r="S377" s="181"/>
      <c r="T377" s="181"/>
      <c r="U377" s="181"/>
      <c r="V377" s="181"/>
      <c r="W377" s="181"/>
      <c r="X377" s="181"/>
      <c r="Y377" s="181"/>
      <c r="Z377" s="181"/>
      <c r="AA377" s="181"/>
      <c r="AB377" s="181"/>
      <c r="AC377" s="181"/>
      <c r="AD377" s="181"/>
      <c r="AE377" s="181"/>
      <c r="AF377" s="181"/>
      <c r="AG377" s="181"/>
      <c r="AH377" s="181"/>
      <c r="AI377" s="181"/>
      <c r="AJ377" s="181"/>
      <c r="AK377" s="181"/>
      <c r="AL377" s="181"/>
      <c r="AM377" s="181"/>
      <c r="AN377" s="181"/>
      <c r="AO377" s="181"/>
      <c r="AP377" s="181"/>
      <c r="AQ377" s="181"/>
      <c r="AR377" s="181"/>
      <c r="AS377" s="181"/>
      <c r="AT377" s="181"/>
      <c r="AU377" s="181"/>
      <c r="AV377" s="181"/>
      <c r="AW377" s="181"/>
      <c r="AX377" s="181"/>
      <c r="AY377" s="181"/>
      <c r="AZ377" s="181"/>
      <c r="BA377" s="181"/>
      <c r="BB377" s="181"/>
      <c r="BC377" s="173"/>
      <c r="BD377" s="173"/>
      <c r="BE377" s="173"/>
      <c r="BF377" s="173"/>
      <c r="BG377" s="173"/>
      <c r="BH377" s="173"/>
      <c r="BI377" s="173"/>
      <c r="BJ377" s="173"/>
      <c r="BK377" s="173"/>
      <c r="BL377" s="173"/>
      <c r="BM377" s="173"/>
      <c r="BN377" s="181"/>
      <c r="BO377" s="181"/>
      <c r="BP377" s="181"/>
      <c r="BQ377" s="181"/>
      <c r="BR377" s="181"/>
      <c r="BS377" s="181"/>
      <c r="BT377" s="181"/>
      <c r="BU377" s="173"/>
      <c r="BV377" s="173"/>
      <c r="BW377" s="173"/>
      <c r="BX377" s="173"/>
      <c r="BY377" s="173"/>
      <c r="BZ377" s="173"/>
      <c r="CA377" s="173"/>
      <c r="CB377" s="173"/>
      <c r="CC377" s="173"/>
      <c r="CD377" s="173"/>
      <c r="CE377" s="173"/>
      <c r="CF377" s="173"/>
      <c r="CG377" s="173"/>
      <c r="CH377" s="173"/>
      <c r="CI377" s="173"/>
      <c r="CJ377" s="173"/>
      <c r="CK377" s="173"/>
      <c r="CL377" s="173"/>
    </row>
    <row r="378" spans="1:90">
      <c r="A378" s="181"/>
      <c r="B378" s="181"/>
      <c r="C378" s="181"/>
      <c r="D378" s="181"/>
      <c r="E378" s="181"/>
      <c r="F378" s="181"/>
      <c r="G378" s="181"/>
      <c r="H378" s="181"/>
      <c r="I378" s="181"/>
      <c r="J378" s="181"/>
      <c r="K378" s="254"/>
      <c r="L378" s="181"/>
      <c r="M378" s="181"/>
      <c r="N378" s="181"/>
      <c r="O378" s="181"/>
      <c r="P378" s="181"/>
      <c r="Q378" s="181"/>
      <c r="R378" s="181"/>
      <c r="S378" s="181"/>
      <c r="T378" s="181"/>
      <c r="U378" s="181"/>
      <c r="V378" s="181"/>
      <c r="W378" s="181"/>
      <c r="X378" s="181"/>
      <c r="Y378" s="181"/>
      <c r="Z378" s="181"/>
      <c r="AA378" s="181"/>
      <c r="AB378" s="181"/>
      <c r="AC378" s="181"/>
      <c r="AD378" s="181"/>
      <c r="AE378" s="181"/>
      <c r="AF378" s="181"/>
      <c r="AG378" s="181"/>
      <c r="AH378" s="181"/>
      <c r="AI378" s="181"/>
      <c r="AJ378" s="181"/>
      <c r="AK378" s="181"/>
      <c r="AL378" s="181"/>
      <c r="AM378" s="181"/>
      <c r="AN378" s="181"/>
      <c r="AO378" s="181"/>
      <c r="AP378" s="181"/>
      <c r="AQ378" s="181"/>
      <c r="AR378" s="181"/>
      <c r="AS378" s="181"/>
      <c r="AT378" s="181"/>
      <c r="AU378" s="181"/>
      <c r="AV378" s="181"/>
      <c r="AW378" s="181"/>
      <c r="AX378" s="181"/>
      <c r="AY378" s="181"/>
      <c r="AZ378" s="181"/>
      <c r="BA378" s="181"/>
      <c r="BB378" s="181"/>
      <c r="BC378" s="173"/>
      <c r="BD378" s="173"/>
      <c r="BE378" s="173"/>
      <c r="BF378" s="173"/>
      <c r="BG378" s="173"/>
      <c r="BH378" s="173"/>
      <c r="BI378" s="173"/>
      <c r="BJ378" s="173"/>
      <c r="BK378" s="173"/>
      <c r="BL378" s="173"/>
      <c r="BM378" s="173"/>
      <c r="BN378" s="181"/>
      <c r="BO378" s="181"/>
      <c r="BP378" s="181"/>
      <c r="BQ378" s="181"/>
      <c r="BR378" s="181"/>
      <c r="BS378" s="181"/>
      <c r="BT378" s="181"/>
      <c r="BU378" s="173"/>
      <c r="BV378" s="173"/>
      <c r="BW378" s="173"/>
      <c r="BX378" s="173"/>
      <c r="BY378" s="173"/>
      <c r="BZ378" s="173"/>
      <c r="CA378" s="173"/>
      <c r="CB378" s="173"/>
      <c r="CC378" s="173"/>
      <c r="CD378" s="173"/>
      <c r="CE378" s="173"/>
      <c r="CF378" s="173"/>
      <c r="CG378" s="173"/>
      <c r="CH378" s="173"/>
      <c r="CI378" s="173"/>
      <c r="CJ378" s="173"/>
      <c r="CK378" s="173"/>
      <c r="CL378" s="173"/>
    </row>
    <row r="379" spans="1:90">
      <c r="A379" s="181"/>
      <c r="B379" s="181"/>
      <c r="C379" s="181"/>
      <c r="D379" s="181"/>
      <c r="E379" s="181"/>
      <c r="F379" s="181"/>
      <c r="G379" s="181"/>
      <c r="H379" s="181"/>
      <c r="I379" s="181"/>
      <c r="J379" s="181"/>
      <c r="K379" s="254"/>
      <c r="L379" s="181"/>
      <c r="M379" s="181"/>
      <c r="N379" s="181"/>
      <c r="O379" s="181"/>
      <c r="P379" s="181"/>
      <c r="Q379" s="181"/>
      <c r="R379" s="181"/>
      <c r="S379" s="181"/>
      <c r="T379" s="181"/>
      <c r="U379" s="181"/>
      <c r="V379" s="181"/>
      <c r="W379" s="181"/>
      <c r="X379" s="181"/>
      <c r="Y379" s="181"/>
      <c r="Z379" s="181"/>
      <c r="AA379" s="181"/>
      <c r="AB379" s="181"/>
      <c r="AC379" s="181"/>
      <c r="AD379" s="181"/>
      <c r="AE379" s="181"/>
      <c r="AF379" s="181"/>
      <c r="AG379" s="181"/>
      <c r="AH379" s="181"/>
      <c r="AI379" s="181"/>
      <c r="AJ379" s="181"/>
      <c r="AK379" s="181"/>
      <c r="AL379" s="181"/>
      <c r="AM379" s="181"/>
      <c r="AN379" s="181"/>
      <c r="AO379" s="181"/>
      <c r="AP379" s="181"/>
      <c r="AQ379" s="181"/>
      <c r="AR379" s="181"/>
      <c r="AS379" s="181"/>
      <c r="AT379" s="181"/>
      <c r="AU379" s="181"/>
      <c r="AV379" s="181"/>
      <c r="AW379" s="181"/>
      <c r="AX379" s="181"/>
      <c r="AY379" s="181"/>
      <c r="AZ379" s="181"/>
      <c r="BA379" s="181"/>
      <c r="BB379" s="181"/>
      <c r="BC379" s="173"/>
      <c r="BD379" s="173"/>
      <c r="BE379" s="173"/>
      <c r="BF379" s="173"/>
      <c r="BG379" s="173"/>
      <c r="BH379" s="173"/>
      <c r="BI379" s="173"/>
      <c r="BJ379" s="173"/>
      <c r="BK379" s="173"/>
      <c r="BL379" s="173"/>
      <c r="BM379" s="173"/>
      <c r="BN379" s="181"/>
      <c r="BO379" s="181"/>
      <c r="BP379" s="181"/>
      <c r="BQ379" s="181"/>
      <c r="BR379" s="181"/>
      <c r="BS379" s="181"/>
      <c r="BT379" s="181"/>
      <c r="BU379" s="173"/>
      <c r="BV379" s="173"/>
      <c r="BW379" s="173"/>
      <c r="BX379" s="173"/>
      <c r="BY379" s="173"/>
      <c r="BZ379" s="173"/>
      <c r="CA379" s="173"/>
      <c r="CB379" s="173"/>
      <c r="CC379" s="173"/>
      <c r="CD379" s="173"/>
      <c r="CE379" s="173"/>
      <c r="CF379" s="173"/>
      <c r="CG379" s="173"/>
      <c r="CH379" s="173"/>
      <c r="CI379" s="173"/>
      <c r="CJ379" s="173"/>
      <c r="CK379" s="173"/>
      <c r="CL379" s="173"/>
    </row>
    <row r="380" spans="1:90">
      <c r="A380" s="181"/>
      <c r="B380" s="181"/>
      <c r="C380" s="181"/>
      <c r="D380" s="181"/>
      <c r="E380" s="181"/>
      <c r="F380" s="181"/>
      <c r="G380" s="181"/>
      <c r="H380" s="181"/>
      <c r="I380" s="181"/>
      <c r="J380" s="181"/>
      <c r="K380" s="254"/>
      <c r="L380" s="181"/>
      <c r="M380" s="181"/>
      <c r="N380" s="181"/>
      <c r="O380" s="181"/>
      <c r="P380" s="181"/>
      <c r="Q380" s="181"/>
      <c r="R380" s="181"/>
      <c r="S380" s="181"/>
      <c r="T380" s="181"/>
      <c r="U380" s="181"/>
      <c r="V380" s="181"/>
      <c r="W380" s="181"/>
      <c r="X380" s="181"/>
      <c r="Y380" s="181"/>
      <c r="Z380" s="181"/>
      <c r="AA380" s="181"/>
      <c r="AB380" s="181"/>
      <c r="AC380" s="181"/>
      <c r="AD380" s="181"/>
      <c r="AE380" s="181"/>
      <c r="AF380" s="181"/>
      <c r="AG380" s="181"/>
      <c r="AH380" s="181"/>
      <c r="AI380" s="181"/>
      <c r="AJ380" s="181"/>
      <c r="AK380" s="181"/>
      <c r="AL380" s="181"/>
      <c r="AM380" s="181"/>
      <c r="AN380" s="181"/>
      <c r="AO380" s="181"/>
      <c r="AP380" s="181"/>
      <c r="AQ380" s="181"/>
      <c r="AR380" s="181"/>
      <c r="AS380" s="181"/>
      <c r="AT380" s="181"/>
      <c r="AU380" s="181"/>
      <c r="AV380" s="181"/>
      <c r="AW380" s="181"/>
      <c r="AX380" s="181"/>
      <c r="AY380" s="181"/>
      <c r="AZ380" s="181"/>
      <c r="BA380" s="181"/>
      <c r="BB380" s="181"/>
      <c r="BC380" s="173"/>
      <c r="BD380" s="173"/>
      <c r="BE380" s="173"/>
      <c r="BF380" s="173"/>
      <c r="BG380" s="173"/>
      <c r="BH380" s="173"/>
      <c r="BI380" s="173"/>
      <c r="BJ380" s="173"/>
      <c r="BK380" s="173"/>
      <c r="BL380" s="173"/>
      <c r="BM380" s="173"/>
      <c r="BN380" s="181"/>
      <c r="BO380" s="181"/>
      <c r="BP380" s="181"/>
      <c r="BQ380" s="181"/>
      <c r="BR380" s="181"/>
      <c r="BS380" s="181"/>
      <c r="BT380" s="181"/>
      <c r="BU380" s="173"/>
      <c r="BV380" s="173"/>
      <c r="BW380" s="173"/>
      <c r="BX380" s="173"/>
      <c r="BY380" s="173"/>
      <c r="BZ380" s="173"/>
      <c r="CA380" s="173"/>
      <c r="CB380" s="173"/>
      <c r="CC380" s="173"/>
      <c r="CD380" s="173"/>
      <c r="CE380" s="173"/>
      <c r="CF380" s="173"/>
      <c r="CG380" s="173"/>
      <c r="CH380" s="173"/>
      <c r="CI380" s="173"/>
      <c r="CJ380" s="173"/>
      <c r="CK380" s="173"/>
      <c r="CL380" s="173"/>
    </row>
    <row r="381" spans="1:90">
      <c r="A381" s="181"/>
      <c r="B381" s="181"/>
      <c r="C381" s="181"/>
      <c r="D381" s="181"/>
      <c r="E381" s="181"/>
      <c r="F381" s="181"/>
      <c r="G381" s="181"/>
      <c r="H381" s="181"/>
      <c r="I381" s="181"/>
      <c r="J381" s="181"/>
      <c r="K381" s="254"/>
      <c r="L381" s="181"/>
      <c r="M381" s="181"/>
      <c r="N381" s="181"/>
      <c r="O381" s="181"/>
      <c r="P381" s="181"/>
      <c r="Q381" s="181"/>
      <c r="R381" s="181"/>
      <c r="S381" s="181"/>
      <c r="T381" s="181"/>
      <c r="U381" s="181"/>
      <c r="V381" s="181"/>
      <c r="W381" s="181"/>
      <c r="X381" s="181"/>
      <c r="Y381" s="181"/>
      <c r="Z381" s="181"/>
      <c r="AA381" s="181"/>
      <c r="AB381" s="181"/>
      <c r="AC381" s="181"/>
      <c r="AD381" s="181"/>
      <c r="AE381" s="181"/>
      <c r="AF381" s="181"/>
      <c r="AG381" s="181"/>
      <c r="AH381" s="181"/>
      <c r="AI381" s="181"/>
      <c r="AJ381" s="181"/>
      <c r="AK381" s="181"/>
      <c r="AL381" s="181"/>
      <c r="AM381" s="181"/>
      <c r="AN381" s="181"/>
      <c r="AO381" s="181"/>
      <c r="AP381" s="181"/>
      <c r="AQ381" s="181"/>
      <c r="AR381" s="181"/>
      <c r="AS381" s="181"/>
      <c r="AT381" s="181"/>
      <c r="AU381" s="181"/>
      <c r="AV381" s="181"/>
      <c r="AW381" s="181"/>
      <c r="AX381" s="181"/>
      <c r="AY381" s="181"/>
      <c r="AZ381" s="181"/>
      <c r="BA381" s="181"/>
      <c r="BB381" s="181"/>
      <c r="BC381" s="173"/>
      <c r="BD381" s="173"/>
      <c r="BE381" s="173"/>
      <c r="BF381" s="173"/>
      <c r="BG381" s="173"/>
      <c r="BH381" s="173"/>
      <c r="BI381" s="173"/>
      <c r="BJ381" s="173"/>
      <c r="BK381" s="173"/>
      <c r="BL381" s="173"/>
      <c r="BM381" s="173"/>
      <c r="BN381" s="181"/>
      <c r="BO381" s="181"/>
      <c r="BP381" s="181"/>
      <c r="BQ381" s="181"/>
      <c r="BR381" s="181"/>
      <c r="BS381" s="181"/>
      <c r="BT381" s="181"/>
      <c r="BU381" s="173"/>
      <c r="BV381" s="173"/>
      <c r="BW381" s="173"/>
      <c r="BX381" s="173"/>
      <c r="BY381" s="173"/>
      <c r="BZ381" s="173"/>
      <c r="CA381" s="173"/>
      <c r="CB381" s="173"/>
      <c r="CC381" s="173"/>
      <c r="CD381" s="173"/>
      <c r="CE381" s="173"/>
      <c r="CF381" s="173"/>
      <c r="CG381" s="173"/>
      <c r="CH381" s="173"/>
      <c r="CI381" s="173"/>
      <c r="CJ381" s="173"/>
      <c r="CK381" s="173"/>
      <c r="CL381" s="173"/>
    </row>
    <row r="382" spans="1:90">
      <c r="A382" s="181"/>
      <c r="B382" s="181"/>
      <c r="C382" s="181"/>
      <c r="D382" s="181"/>
      <c r="E382" s="181"/>
      <c r="F382" s="181"/>
      <c r="G382" s="181"/>
      <c r="H382" s="181"/>
      <c r="I382" s="181"/>
      <c r="J382" s="181"/>
      <c r="K382" s="254"/>
      <c r="L382" s="181"/>
      <c r="M382" s="181"/>
      <c r="N382" s="181"/>
      <c r="O382" s="181"/>
      <c r="P382" s="181"/>
      <c r="Q382" s="181"/>
      <c r="R382" s="181"/>
      <c r="S382" s="181"/>
      <c r="T382" s="181"/>
      <c r="U382" s="181"/>
      <c r="V382" s="181"/>
      <c r="W382" s="181"/>
      <c r="X382" s="181"/>
      <c r="Y382" s="181"/>
      <c r="Z382" s="181"/>
      <c r="AA382" s="181"/>
      <c r="AB382" s="181"/>
      <c r="AC382" s="181"/>
      <c r="AD382" s="181"/>
      <c r="AE382" s="181"/>
      <c r="AF382" s="181"/>
      <c r="AG382" s="181"/>
      <c r="AH382" s="181"/>
      <c r="AI382" s="181"/>
      <c r="AJ382" s="181"/>
      <c r="AK382" s="181"/>
      <c r="AL382" s="181"/>
      <c r="AM382" s="181"/>
      <c r="AN382" s="181"/>
      <c r="AO382" s="181"/>
      <c r="AP382" s="181"/>
      <c r="AQ382" s="181"/>
      <c r="AR382" s="181"/>
      <c r="AS382" s="181"/>
      <c r="AT382" s="181"/>
      <c r="AU382" s="181"/>
      <c r="AV382" s="181"/>
      <c r="AW382" s="181"/>
      <c r="AX382" s="181"/>
      <c r="AY382" s="181"/>
      <c r="AZ382" s="181"/>
      <c r="BA382" s="181"/>
      <c r="BB382" s="181"/>
      <c r="BC382" s="173"/>
      <c r="BD382" s="173"/>
      <c r="BE382" s="173"/>
      <c r="BF382" s="173"/>
      <c r="BG382" s="173"/>
      <c r="BH382" s="173"/>
      <c r="BI382" s="173"/>
      <c r="BJ382" s="173"/>
      <c r="BK382" s="173"/>
      <c r="BL382" s="173"/>
      <c r="BM382" s="173"/>
      <c r="BN382" s="181"/>
      <c r="BO382" s="181"/>
      <c r="BP382" s="181"/>
      <c r="BQ382" s="181"/>
      <c r="BR382" s="181"/>
      <c r="BS382" s="181"/>
      <c r="BT382" s="181"/>
      <c r="BU382" s="173"/>
      <c r="BV382" s="173"/>
      <c r="BW382" s="173"/>
      <c r="BX382" s="173"/>
      <c r="BY382" s="173"/>
      <c r="BZ382" s="173"/>
      <c r="CA382" s="173"/>
      <c r="CB382" s="173"/>
      <c r="CC382" s="173"/>
      <c r="CD382" s="173"/>
      <c r="CE382" s="173"/>
      <c r="CF382" s="173"/>
      <c r="CG382" s="173"/>
      <c r="CH382" s="173"/>
      <c r="CI382" s="173"/>
      <c r="CJ382" s="173"/>
      <c r="CK382" s="173"/>
      <c r="CL382" s="173"/>
    </row>
    <row r="383" spans="1:90">
      <c r="A383" s="181"/>
      <c r="B383" s="181"/>
      <c r="C383" s="181"/>
      <c r="D383" s="181"/>
      <c r="E383" s="181"/>
      <c r="F383" s="181"/>
      <c r="G383" s="181"/>
      <c r="H383" s="181"/>
      <c r="I383" s="181"/>
      <c r="J383" s="181"/>
      <c r="K383" s="254"/>
      <c r="L383" s="181"/>
      <c r="M383" s="181"/>
      <c r="N383" s="181"/>
      <c r="O383" s="181"/>
      <c r="P383" s="181"/>
      <c r="Q383" s="181"/>
      <c r="R383" s="181"/>
      <c r="S383" s="181"/>
      <c r="T383" s="181"/>
      <c r="U383" s="181"/>
      <c r="V383" s="181"/>
      <c r="W383" s="181"/>
      <c r="X383" s="181"/>
      <c r="Y383" s="181"/>
      <c r="Z383" s="181"/>
      <c r="AA383" s="181"/>
      <c r="AB383" s="181"/>
      <c r="AC383" s="181"/>
      <c r="AD383" s="181"/>
      <c r="AE383" s="181"/>
      <c r="AF383" s="181"/>
      <c r="AG383" s="181"/>
      <c r="AH383" s="181"/>
      <c r="AI383" s="181"/>
      <c r="AJ383" s="181"/>
      <c r="AK383" s="181"/>
      <c r="AL383" s="181"/>
      <c r="AM383" s="181"/>
      <c r="AN383" s="181"/>
      <c r="AO383" s="181"/>
      <c r="AP383" s="181"/>
      <c r="AQ383" s="181"/>
      <c r="AR383" s="181"/>
      <c r="AS383" s="181"/>
      <c r="AT383" s="181"/>
      <c r="AU383" s="181"/>
      <c r="AV383" s="181"/>
      <c r="AW383" s="181"/>
      <c r="AX383" s="181"/>
      <c r="AY383" s="181"/>
      <c r="AZ383" s="181"/>
      <c r="BA383" s="181"/>
      <c r="BB383" s="181"/>
      <c r="BC383" s="173"/>
      <c r="BD383" s="173"/>
      <c r="BE383" s="173"/>
      <c r="BF383" s="173"/>
      <c r="BG383" s="173"/>
      <c r="BH383" s="173"/>
      <c r="BI383" s="173"/>
      <c r="BJ383" s="173"/>
      <c r="BK383" s="173"/>
      <c r="BL383" s="173"/>
      <c r="BM383" s="173"/>
      <c r="BN383" s="181"/>
      <c r="BO383" s="181"/>
      <c r="BP383" s="181"/>
      <c r="BQ383" s="181"/>
      <c r="BR383" s="181"/>
      <c r="BS383" s="181"/>
      <c r="BT383" s="181"/>
      <c r="BU383" s="173"/>
      <c r="BV383" s="173"/>
      <c r="BW383" s="173"/>
      <c r="BX383" s="173"/>
      <c r="BY383" s="173"/>
      <c r="BZ383" s="173"/>
      <c r="CA383" s="173"/>
      <c r="CB383" s="173"/>
      <c r="CC383" s="173"/>
      <c r="CD383" s="173"/>
      <c r="CE383" s="173"/>
      <c r="CF383" s="173"/>
      <c r="CG383" s="173"/>
      <c r="CH383" s="173"/>
      <c r="CI383" s="173"/>
      <c r="CJ383" s="173"/>
      <c r="CK383" s="173"/>
      <c r="CL383" s="173"/>
    </row>
    <row r="384" spans="1:90">
      <c r="A384" s="181"/>
      <c r="B384" s="181"/>
      <c r="C384" s="181"/>
      <c r="D384" s="181"/>
      <c r="E384" s="181"/>
      <c r="F384" s="181"/>
      <c r="G384" s="181"/>
      <c r="H384" s="181"/>
      <c r="I384" s="181"/>
      <c r="J384" s="181"/>
      <c r="K384" s="254"/>
      <c r="L384" s="181"/>
      <c r="M384" s="181"/>
      <c r="N384" s="181"/>
      <c r="O384" s="181"/>
      <c r="P384" s="181"/>
      <c r="Q384" s="181"/>
      <c r="R384" s="181"/>
      <c r="S384" s="181"/>
      <c r="T384" s="181"/>
      <c r="U384" s="181"/>
      <c r="V384" s="181"/>
      <c r="W384" s="181"/>
      <c r="X384" s="181"/>
      <c r="Y384" s="181"/>
      <c r="Z384" s="181"/>
      <c r="AA384" s="181"/>
      <c r="AB384" s="181"/>
      <c r="AC384" s="181"/>
      <c r="AD384" s="181"/>
      <c r="AE384" s="181"/>
      <c r="AF384" s="181"/>
      <c r="AG384" s="181"/>
      <c r="AH384" s="181"/>
      <c r="AI384" s="181"/>
      <c r="AJ384" s="181"/>
      <c r="AK384" s="181"/>
      <c r="AL384" s="181"/>
      <c r="AM384" s="181"/>
      <c r="AN384" s="181"/>
      <c r="AO384" s="181"/>
      <c r="AP384" s="181"/>
      <c r="AQ384" s="181"/>
      <c r="AR384" s="181"/>
      <c r="AS384" s="181"/>
      <c r="AT384" s="181"/>
      <c r="AU384" s="181"/>
      <c r="AV384" s="181"/>
      <c r="AW384" s="181"/>
      <c r="AX384" s="181"/>
      <c r="AY384" s="181"/>
      <c r="AZ384" s="181"/>
      <c r="BA384" s="181"/>
      <c r="BB384" s="181"/>
      <c r="BC384" s="173"/>
      <c r="BD384" s="173"/>
      <c r="BE384" s="173"/>
      <c r="BF384" s="173"/>
      <c r="BG384" s="173"/>
      <c r="BH384" s="173"/>
      <c r="BI384" s="173"/>
      <c r="BJ384" s="173"/>
      <c r="BK384" s="173"/>
      <c r="BL384" s="173"/>
      <c r="BM384" s="173"/>
      <c r="BN384" s="181"/>
      <c r="BO384" s="181"/>
      <c r="BP384" s="181"/>
      <c r="BQ384" s="181"/>
      <c r="BR384" s="181"/>
      <c r="BS384" s="181"/>
      <c r="BT384" s="181"/>
      <c r="BU384" s="173"/>
      <c r="BV384" s="173"/>
      <c r="BW384" s="173"/>
      <c r="BX384" s="173"/>
      <c r="BY384" s="173"/>
      <c r="BZ384" s="173"/>
      <c r="CA384" s="173"/>
      <c r="CB384" s="173"/>
      <c r="CC384" s="173"/>
      <c r="CD384" s="173"/>
      <c r="CE384" s="173"/>
      <c r="CF384" s="173"/>
      <c r="CG384" s="173"/>
      <c r="CH384" s="173"/>
      <c r="CI384" s="173"/>
      <c r="CJ384" s="173"/>
      <c r="CK384" s="173"/>
      <c r="CL384" s="173"/>
    </row>
    <row r="385" spans="1:90">
      <c r="A385" s="181"/>
      <c r="B385" s="181"/>
      <c r="C385" s="181"/>
      <c r="D385" s="181"/>
      <c r="E385" s="181"/>
      <c r="F385" s="181"/>
      <c r="G385" s="181"/>
      <c r="H385" s="181"/>
      <c r="I385" s="181"/>
      <c r="J385" s="181"/>
      <c r="K385" s="254"/>
      <c r="L385" s="181"/>
      <c r="M385" s="181"/>
      <c r="N385" s="181"/>
      <c r="O385" s="181"/>
      <c r="P385" s="181"/>
      <c r="Q385" s="181"/>
      <c r="R385" s="181"/>
      <c r="S385" s="181"/>
      <c r="T385" s="181"/>
      <c r="U385" s="181"/>
      <c r="V385" s="181"/>
      <c r="W385" s="181"/>
      <c r="X385" s="181"/>
      <c r="Y385" s="181"/>
      <c r="Z385" s="181"/>
      <c r="AA385" s="181"/>
      <c r="AB385" s="181"/>
      <c r="AC385" s="181"/>
      <c r="AD385" s="181"/>
      <c r="AE385" s="181"/>
      <c r="AF385" s="181"/>
      <c r="AG385" s="181"/>
      <c r="AH385" s="181"/>
      <c r="AI385" s="181"/>
      <c r="AJ385" s="181"/>
      <c r="AK385" s="181"/>
      <c r="AL385" s="181"/>
      <c r="AM385" s="181"/>
      <c r="AN385" s="181"/>
      <c r="AO385" s="181"/>
      <c r="AP385" s="181"/>
      <c r="AQ385" s="181"/>
      <c r="AR385" s="181"/>
      <c r="AS385" s="181"/>
      <c r="AT385" s="181"/>
      <c r="AU385" s="181"/>
      <c r="AV385" s="181"/>
      <c r="AW385" s="181"/>
      <c r="AX385" s="181"/>
      <c r="AY385" s="181"/>
      <c r="AZ385" s="181"/>
      <c r="BA385" s="181"/>
      <c r="BB385" s="181"/>
      <c r="BC385" s="173"/>
      <c r="BD385" s="173"/>
      <c r="BE385" s="173"/>
      <c r="BF385" s="173"/>
      <c r="BG385" s="173"/>
      <c r="BH385" s="173"/>
      <c r="BI385" s="173"/>
      <c r="BJ385" s="173"/>
      <c r="BK385" s="173"/>
      <c r="BL385" s="173"/>
      <c r="BM385" s="173"/>
      <c r="BN385" s="181"/>
      <c r="BO385" s="181"/>
      <c r="BP385" s="181"/>
      <c r="BQ385" s="181"/>
      <c r="BR385" s="181"/>
      <c r="BS385" s="181"/>
      <c r="BT385" s="181"/>
      <c r="BU385" s="173"/>
      <c r="BV385" s="173"/>
      <c r="BW385" s="173"/>
      <c r="BX385" s="173"/>
      <c r="BY385" s="173"/>
      <c r="BZ385" s="173"/>
      <c r="CA385" s="173"/>
      <c r="CB385" s="173"/>
      <c r="CC385" s="173"/>
      <c r="CD385" s="173"/>
      <c r="CE385" s="173"/>
      <c r="CF385" s="173"/>
      <c r="CG385" s="173"/>
      <c r="CH385" s="173"/>
      <c r="CI385" s="173"/>
      <c r="CJ385" s="173"/>
      <c r="CK385" s="173"/>
      <c r="CL385" s="173"/>
    </row>
    <row r="386" spans="1:90">
      <c r="A386" s="181"/>
      <c r="B386" s="181"/>
      <c r="C386" s="181"/>
      <c r="D386" s="181"/>
      <c r="E386" s="181"/>
      <c r="F386" s="181"/>
      <c r="G386" s="181"/>
      <c r="H386" s="181"/>
      <c r="I386" s="181"/>
      <c r="J386" s="181"/>
      <c r="K386" s="254"/>
      <c r="L386" s="181"/>
      <c r="M386" s="181"/>
      <c r="N386" s="181"/>
      <c r="O386" s="181"/>
      <c r="P386" s="181"/>
      <c r="Q386" s="181"/>
      <c r="R386" s="181"/>
      <c r="S386" s="181"/>
      <c r="T386" s="181"/>
      <c r="U386" s="181"/>
      <c r="V386" s="181"/>
      <c r="W386" s="181"/>
      <c r="X386" s="181"/>
      <c r="Y386" s="181"/>
      <c r="Z386" s="181"/>
      <c r="AA386" s="181"/>
      <c r="AB386" s="181"/>
      <c r="AC386" s="181"/>
      <c r="AD386" s="181"/>
      <c r="AE386" s="181"/>
      <c r="AF386" s="181"/>
      <c r="AG386" s="181"/>
      <c r="AH386" s="181"/>
      <c r="AI386" s="181"/>
      <c r="AJ386" s="181"/>
      <c r="AK386" s="181"/>
      <c r="AL386" s="181"/>
      <c r="AM386" s="181"/>
      <c r="AN386" s="181"/>
      <c r="AO386" s="181"/>
      <c r="AP386" s="181"/>
      <c r="AQ386" s="181"/>
      <c r="AR386" s="181"/>
      <c r="AS386" s="181"/>
      <c r="AT386" s="181"/>
      <c r="AU386" s="181"/>
      <c r="AV386" s="181"/>
      <c r="AW386" s="181"/>
      <c r="AX386" s="181"/>
      <c r="AY386" s="181"/>
      <c r="AZ386" s="181"/>
      <c r="BA386" s="181"/>
      <c r="BB386" s="181"/>
      <c r="BC386" s="173"/>
      <c r="BD386" s="173"/>
      <c r="BE386" s="173"/>
      <c r="BF386" s="173"/>
      <c r="BG386" s="173"/>
      <c r="BH386" s="173"/>
      <c r="BI386" s="173"/>
      <c r="BJ386" s="173"/>
      <c r="BK386" s="173"/>
      <c r="BL386" s="173"/>
      <c r="BM386" s="173"/>
      <c r="BN386" s="181"/>
      <c r="BO386" s="181"/>
      <c r="BP386" s="181"/>
      <c r="BQ386" s="181"/>
      <c r="BR386" s="181"/>
      <c r="BS386" s="181"/>
      <c r="BT386" s="181"/>
      <c r="BU386" s="173"/>
      <c r="BV386" s="173"/>
      <c r="BW386" s="173"/>
      <c r="BX386" s="173"/>
      <c r="BY386" s="173"/>
      <c r="BZ386" s="173"/>
      <c r="CA386" s="173"/>
      <c r="CB386" s="173"/>
      <c r="CC386" s="173"/>
      <c r="CD386" s="173"/>
      <c r="CE386" s="173"/>
      <c r="CF386" s="173"/>
      <c r="CG386" s="173"/>
      <c r="CH386" s="173"/>
      <c r="CI386" s="173"/>
      <c r="CJ386" s="173"/>
      <c r="CK386" s="173"/>
      <c r="CL386" s="173"/>
    </row>
    <row r="387" spans="1:90">
      <c r="A387" s="181"/>
      <c r="B387" s="181"/>
      <c r="C387" s="181"/>
      <c r="D387" s="181"/>
      <c r="E387" s="181"/>
      <c r="F387" s="181"/>
      <c r="G387" s="181"/>
      <c r="H387" s="181"/>
      <c r="I387" s="181"/>
      <c r="J387" s="181"/>
      <c r="K387" s="254"/>
      <c r="L387" s="181"/>
      <c r="M387" s="181"/>
      <c r="N387" s="181"/>
      <c r="O387" s="181"/>
      <c r="P387" s="181"/>
      <c r="Q387" s="181"/>
      <c r="R387" s="181"/>
      <c r="S387" s="181"/>
      <c r="T387" s="181"/>
      <c r="U387" s="181"/>
      <c r="V387" s="181"/>
      <c r="W387" s="181"/>
      <c r="X387" s="181"/>
      <c r="Y387" s="181"/>
      <c r="Z387" s="181"/>
      <c r="AA387" s="181"/>
      <c r="AB387" s="181"/>
      <c r="AC387" s="181"/>
      <c r="AD387" s="181"/>
      <c r="AE387" s="181"/>
      <c r="AF387" s="181"/>
      <c r="AG387" s="181"/>
      <c r="AH387" s="181"/>
      <c r="AI387" s="181"/>
      <c r="AJ387" s="181"/>
      <c r="AK387" s="181"/>
      <c r="AL387" s="181"/>
      <c r="AM387" s="181"/>
      <c r="AN387" s="181"/>
      <c r="AO387" s="181"/>
      <c r="AP387" s="181"/>
      <c r="AQ387" s="181"/>
      <c r="AR387" s="181"/>
      <c r="AS387" s="181"/>
      <c r="AT387" s="181"/>
      <c r="AU387" s="181"/>
      <c r="AV387" s="181"/>
      <c r="AW387" s="181"/>
      <c r="AX387" s="181"/>
      <c r="AY387" s="181"/>
      <c r="AZ387" s="181"/>
      <c r="BA387" s="181"/>
      <c r="BB387" s="181"/>
      <c r="BC387" s="173"/>
      <c r="BD387" s="173"/>
      <c r="BE387" s="173"/>
      <c r="BF387" s="173"/>
      <c r="BG387" s="173"/>
      <c r="BH387" s="173"/>
      <c r="BI387" s="173"/>
      <c r="BJ387" s="173"/>
      <c r="BK387" s="173"/>
      <c r="BL387" s="173"/>
      <c r="BM387" s="173"/>
      <c r="BN387" s="181"/>
      <c r="BO387" s="181"/>
      <c r="BP387" s="181"/>
      <c r="BQ387" s="181"/>
      <c r="BR387" s="181"/>
      <c r="BS387" s="181"/>
      <c r="BT387" s="181"/>
      <c r="BU387" s="173"/>
      <c r="BV387" s="173"/>
      <c r="BW387" s="173"/>
      <c r="BX387" s="173"/>
      <c r="BY387" s="173"/>
      <c r="BZ387" s="173"/>
      <c r="CA387" s="173"/>
      <c r="CB387" s="173"/>
      <c r="CC387" s="173"/>
      <c r="CD387" s="173"/>
      <c r="CE387" s="173"/>
      <c r="CF387" s="173"/>
      <c r="CG387" s="173"/>
      <c r="CH387" s="173"/>
      <c r="CI387" s="173"/>
      <c r="CJ387" s="173"/>
      <c r="CK387" s="173"/>
      <c r="CL387" s="173"/>
    </row>
    <row r="388" spans="1:90">
      <c r="A388" s="181"/>
      <c r="B388" s="181"/>
      <c r="C388" s="181"/>
      <c r="D388" s="181"/>
      <c r="E388" s="181"/>
      <c r="F388" s="181"/>
      <c r="G388" s="181"/>
      <c r="H388" s="181"/>
      <c r="I388" s="181"/>
      <c r="J388" s="181"/>
      <c r="K388" s="254"/>
      <c r="L388" s="181"/>
      <c r="M388" s="181"/>
      <c r="N388" s="181"/>
      <c r="O388" s="181"/>
      <c r="P388" s="181"/>
      <c r="Q388" s="181"/>
      <c r="R388" s="181"/>
      <c r="S388" s="181"/>
      <c r="T388" s="181"/>
      <c r="U388" s="181"/>
      <c r="V388" s="181"/>
      <c r="W388" s="181"/>
      <c r="X388" s="181"/>
      <c r="Y388" s="181"/>
      <c r="Z388" s="181"/>
      <c r="AA388" s="181"/>
      <c r="AB388" s="181"/>
      <c r="AC388" s="181"/>
      <c r="AD388" s="181"/>
      <c r="AE388" s="181"/>
      <c r="AF388" s="181"/>
      <c r="AG388" s="181"/>
      <c r="AH388" s="181"/>
      <c r="AI388" s="181"/>
      <c r="AJ388" s="181"/>
      <c r="AK388" s="181"/>
      <c r="AL388" s="181"/>
      <c r="AM388" s="181"/>
      <c r="AN388" s="181"/>
      <c r="AO388" s="181"/>
      <c r="AP388" s="181"/>
      <c r="AQ388" s="181"/>
      <c r="AR388" s="181"/>
      <c r="AS388" s="181"/>
      <c r="AT388" s="181"/>
      <c r="AU388" s="181"/>
      <c r="AV388" s="181"/>
      <c r="AW388" s="181"/>
      <c r="AX388" s="181"/>
      <c r="AY388" s="181"/>
      <c r="AZ388" s="181"/>
      <c r="BA388" s="181"/>
      <c r="BB388" s="181"/>
      <c r="BC388" s="173"/>
      <c r="BD388" s="173"/>
      <c r="BE388" s="173"/>
      <c r="BF388" s="173"/>
      <c r="BG388" s="173"/>
      <c r="BH388" s="173"/>
      <c r="BI388" s="173"/>
      <c r="BJ388" s="173"/>
      <c r="BK388" s="173"/>
      <c r="BL388" s="173"/>
      <c r="BM388" s="173"/>
      <c r="BN388" s="181"/>
      <c r="BO388" s="181"/>
      <c r="BP388" s="181"/>
      <c r="BQ388" s="181"/>
      <c r="BR388" s="181"/>
      <c r="BS388" s="181"/>
      <c r="BT388" s="181"/>
      <c r="BU388" s="173"/>
      <c r="BV388" s="173"/>
      <c r="BW388" s="173"/>
      <c r="BX388" s="173"/>
      <c r="BY388" s="173"/>
      <c r="BZ388" s="173"/>
      <c r="CA388" s="173"/>
      <c r="CB388" s="173"/>
      <c r="CC388" s="173"/>
      <c r="CD388" s="173"/>
      <c r="CE388" s="173"/>
      <c r="CF388" s="173"/>
      <c r="CG388" s="173"/>
      <c r="CH388" s="173"/>
      <c r="CI388" s="173"/>
      <c r="CJ388" s="173"/>
      <c r="CK388" s="173"/>
      <c r="CL388" s="173"/>
    </row>
    <row r="389" spans="1:90">
      <c r="A389" s="181"/>
      <c r="B389" s="181"/>
      <c r="C389" s="181"/>
      <c r="D389" s="181"/>
      <c r="E389" s="181"/>
      <c r="F389" s="181"/>
      <c r="G389" s="181"/>
      <c r="H389" s="181"/>
      <c r="I389" s="181"/>
      <c r="J389" s="181"/>
      <c r="K389" s="254"/>
      <c r="L389" s="181"/>
      <c r="M389" s="181"/>
      <c r="N389" s="181"/>
      <c r="O389" s="181"/>
      <c r="P389" s="181"/>
      <c r="Q389" s="181"/>
      <c r="R389" s="181"/>
      <c r="S389" s="181"/>
      <c r="T389" s="181"/>
      <c r="U389" s="181"/>
      <c r="V389" s="181"/>
      <c r="W389" s="181"/>
      <c r="X389" s="181"/>
      <c r="Y389" s="181"/>
      <c r="Z389" s="181"/>
      <c r="AA389" s="181"/>
      <c r="AB389" s="181"/>
      <c r="AC389" s="181"/>
      <c r="AD389" s="181"/>
      <c r="AE389" s="181"/>
      <c r="AF389" s="181"/>
      <c r="AG389" s="181"/>
      <c r="AH389" s="181"/>
      <c r="AI389" s="181"/>
      <c r="AJ389" s="181"/>
      <c r="AK389" s="181"/>
      <c r="AL389" s="181"/>
      <c r="AM389" s="181"/>
      <c r="AN389" s="181"/>
      <c r="AO389" s="181"/>
      <c r="AP389" s="181"/>
      <c r="AQ389" s="181"/>
      <c r="AR389" s="181"/>
      <c r="AS389" s="181"/>
      <c r="AT389" s="181"/>
      <c r="AU389" s="181"/>
      <c r="AV389" s="181"/>
      <c r="AW389" s="181"/>
      <c r="AX389" s="181"/>
      <c r="AY389" s="181"/>
      <c r="AZ389" s="181"/>
      <c r="BA389" s="181"/>
      <c r="BB389" s="181"/>
      <c r="BC389" s="173"/>
      <c r="BD389" s="173"/>
      <c r="BE389" s="173"/>
      <c r="BF389" s="173"/>
      <c r="BG389" s="173"/>
      <c r="BH389" s="173"/>
      <c r="BI389" s="173"/>
      <c r="BJ389" s="173"/>
      <c r="BK389" s="173"/>
      <c r="BL389" s="173"/>
      <c r="BM389" s="173"/>
      <c r="BN389" s="181"/>
      <c r="BO389" s="181"/>
      <c r="BP389" s="181"/>
      <c r="BQ389" s="181"/>
      <c r="BR389" s="181"/>
      <c r="BS389" s="181"/>
      <c r="BT389" s="181"/>
      <c r="BU389" s="173"/>
      <c r="BV389" s="173"/>
      <c r="BW389" s="173"/>
      <c r="BX389" s="173"/>
      <c r="BY389" s="173"/>
      <c r="BZ389" s="173"/>
      <c r="CA389" s="173"/>
      <c r="CB389" s="173"/>
      <c r="CC389" s="173"/>
      <c r="CD389" s="173"/>
      <c r="CE389" s="173"/>
      <c r="CF389" s="173"/>
      <c r="CG389" s="173"/>
      <c r="CH389" s="173"/>
      <c r="CI389" s="173"/>
      <c r="CJ389" s="173"/>
      <c r="CK389" s="173"/>
      <c r="CL389" s="173"/>
    </row>
    <row r="390" spans="1:90">
      <c r="A390" s="181"/>
      <c r="B390" s="181"/>
      <c r="C390" s="181"/>
      <c r="D390" s="181"/>
      <c r="E390" s="181"/>
      <c r="F390" s="181"/>
      <c r="G390" s="181"/>
      <c r="H390" s="181"/>
      <c r="I390" s="181"/>
      <c r="J390" s="181"/>
      <c r="K390" s="254"/>
      <c r="L390" s="181"/>
      <c r="M390" s="181"/>
      <c r="N390" s="181"/>
      <c r="O390" s="181"/>
      <c r="P390" s="181"/>
      <c r="Q390" s="181"/>
      <c r="R390" s="181"/>
      <c r="S390" s="181"/>
      <c r="T390" s="181"/>
      <c r="U390" s="181"/>
      <c r="V390" s="181"/>
      <c r="W390" s="181"/>
      <c r="X390" s="181"/>
      <c r="Y390" s="181"/>
      <c r="Z390" s="181"/>
      <c r="AA390" s="181"/>
      <c r="AB390" s="181"/>
      <c r="AC390" s="181"/>
      <c r="AD390" s="181"/>
      <c r="AE390" s="181"/>
      <c r="AF390" s="181"/>
      <c r="AG390" s="181"/>
      <c r="AH390" s="181"/>
      <c r="AI390" s="181"/>
      <c r="AJ390" s="181"/>
      <c r="AK390" s="181"/>
      <c r="AL390" s="181"/>
      <c r="AM390" s="181"/>
      <c r="AN390" s="181"/>
      <c r="AO390" s="181"/>
      <c r="AP390" s="181"/>
      <c r="AQ390" s="181"/>
      <c r="AR390" s="181"/>
      <c r="AS390" s="181"/>
      <c r="AT390" s="181"/>
      <c r="AU390" s="181"/>
      <c r="AV390" s="181"/>
      <c r="AW390" s="181"/>
      <c r="AX390" s="181"/>
      <c r="AY390" s="181"/>
      <c r="AZ390" s="181"/>
      <c r="BA390" s="181"/>
      <c r="BB390" s="181"/>
      <c r="BC390" s="173"/>
      <c r="BD390" s="173"/>
      <c r="BE390" s="173"/>
      <c r="BF390" s="173"/>
      <c r="BG390" s="173"/>
      <c r="BH390" s="173"/>
      <c r="BI390" s="173"/>
      <c r="BJ390" s="173"/>
      <c r="BK390" s="173"/>
      <c r="BL390" s="173"/>
      <c r="BM390" s="173"/>
      <c r="BN390" s="181"/>
      <c r="BO390" s="181"/>
      <c r="BP390" s="181"/>
      <c r="BQ390" s="181"/>
      <c r="BR390" s="181"/>
      <c r="BS390" s="181"/>
      <c r="BT390" s="181"/>
      <c r="BU390" s="173"/>
      <c r="BV390" s="173"/>
      <c r="BW390" s="173"/>
      <c r="BX390" s="173"/>
      <c r="BY390" s="173"/>
      <c r="BZ390" s="173"/>
      <c r="CA390" s="173"/>
      <c r="CB390" s="173"/>
      <c r="CC390" s="173"/>
      <c r="CD390" s="173"/>
      <c r="CE390" s="173"/>
      <c r="CF390" s="173"/>
      <c r="CG390" s="173"/>
      <c r="CH390" s="173"/>
      <c r="CI390" s="173"/>
      <c r="CJ390" s="173"/>
      <c r="CK390" s="173"/>
      <c r="CL390" s="173"/>
    </row>
    <row r="391" spans="1:90">
      <c r="A391" s="181"/>
      <c r="B391" s="181"/>
      <c r="C391" s="181"/>
      <c r="D391" s="181"/>
      <c r="E391" s="181"/>
      <c r="F391" s="181"/>
      <c r="G391" s="181"/>
      <c r="H391" s="181"/>
      <c r="I391" s="181"/>
      <c r="J391" s="181"/>
      <c r="K391" s="254"/>
      <c r="L391" s="181"/>
      <c r="M391" s="181"/>
      <c r="N391" s="181"/>
      <c r="O391" s="181"/>
      <c r="P391" s="181"/>
      <c r="Q391" s="181"/>
      <c r="R391" s="181"/>
      <c r="S391" s="181"/>
      <c r="T391" s="181"/>
      <c r="U391" s="181"/>
      <c r="V391" s="181"/>
      <c r="W391" s="181"/>
      <c r="X391" s="181"/>
      <c r="Y391" s="181"/>
      <c r="Z391" s="181"/>
      <c r="AA391" s="181"/>
      <c r="AB391" s="181"/>
      <c r="AC391" s="181"/>
      <c r="AD391" s="181"/>
      <c r="AE391" s="181"/>
      <c r="AF391" s="181"/>
      <c r="AG391" s="181"/>
      <c r="AH391" s="181"/>
      <c r="AI391" s="181"/>
      <c r="AJ391" s="181"/>
      <c r="AK391" s="181"/>
      <c r="AL391" s="181"/>
      <c r="AM391" s="181"/>
      <c r="AN391" s="181"/>
      <c r="AO391" s="181"/>
      <c r="AP391" s="181"/>
      <c r="AQ391" s="181"/>
      <c r="AR391" s="181"/>
      <c r="AS391" s="181"/>
      <c r="AT391" s="181"/>
      <c r="AU391" s="181"/>
      <c r="AV391" s="181"/>
      <c r="AW391" s="181"/>
      <c r="AX391" s="181"/>
      <c r="AY391" s="181"/>
      <c r="AZ391" s="181"/>
      <c r="BA391" s="181"/>
      <c r="BB391" s="181"/>
      <c r="BC391" s="173"/>
      <c r="BD391" s="173"/>
      <c r="BE391" s="173"/>
      <c r="BF391" s="173"/>
      <c r="BG391" s="173"/>
      <c r="BH391" s="173"/>
      <c r="BI391" s="173"/>
      <c r="BJ391" s="173"/>
      <c r="BK391" s="173"/>
      <c r="BL391" s="173"/>
      <c r="BM391" s="173"/>
      <c r="BN391" s="181"/>
      <c r="BO391" s="181"/>
      <c r="BP391" s="181"/>
      <c r="BQ391" s="181"/>
      <c r="BR391" s="181"/>
      <c r="BS391" s="181"/>
      <c r="BT391" s="181"/>
      <c r="BU391" s="173"/>
      <c r="BV391" s="173"/>
      <c r="BW391" s="173"/>
      <c r="BX391" s="173"/>
      <c r="BY391" s="173"/>
      <c r="BZ391" s="173"/>
      <c r="CA391" s="173"/>
      <c r="CB391" s="173"/>
      <c r="CC391" s="173"/>
      <c r="CD391" s="173"/>
      <c r="CE391" s="173"/>
      <c r="CF391" s="173"/>
      <c r="CG391" s="173"/>
      <c r="CH391" s="173"/>
      <c r="CI391" s="173"/>
      <c r="CJ391" s="173"/>
      <c r="CK391" s="173"/>
      <c r="CL391" s="173"/>
    </row>
    <row r="392" spans="1:90">
      <c r="A392" s="181"/>
      <c r="B392" s="181"/>
      <c r="C392" s="181"/>
      <c r="D392" s="181"/>
      <c r="E392" s="181"/>
      <c r="F392" s="181"/>
      <c r="G392" s="181"/>
      <c r="H392" s="181"/>
      <c r="I392" s="181"/>
      <c r="J392" s="181"/>
      <c r="K392" s="254"/>
      <c r="L392" s="181"/>
      <c r="M392" s="181"/>
      <c r="N392" s="181"/>
      <c r="O392" s="181"/>
      <c r="P392" s="181"/>
      <c r="Q392" s="181"/>
      <c r="R392" s="181"/>
      <c r="S392" s="181"/>
      <c r="T392" s="181"/>
      <c r="U392" s="181"/>
      <c r="V392" s="181"/>
      <c r="W392" s="181"/>
      <c r="X392" s="181"/>
      <c r="Y392" s="181"/>
      <c r="Z392" s="181"/>
      <c r="AA392" s="181"/>
      <c r="AB392" s="181"/>
      <c r="AC392" s="181"/>
      <c r="AD392" s="181"/>
      <c r="AE392" s="181"/>
      <c r="AF392" s="181"/>
      <c r="AG392" s="181"/>
      <c r="AH392" s="181"/>
      <c r="AI392" s="181"/>
      <c r="AJ392" s="181"/>
      <c r="AK392" s="181"/>
      <c r="AL392" s="181"/>
      <c r="AM392" s="181"/>
      <c r="AN392" s="181"/>
      <c r="AO392" s="181"/>
      <c r="AP392" s="181"/>
      <c r="AQ392" s="181"/>
      <c r="AR392" s="181"/>
      <c r="AS392" s="181"/>
      <c r="AT392" s="181"/>
      <c r="AU392" s="181"/>
      <c r="AV392" s="181"/>
      <c r="AW392" s="181"/>
      <c r="AX392" s="181"/>
      <c r="AY392" s="181"/>
      <c r="AZ392" s="181"/>
      <c r="BA392" s="181"/>
      <c r="BB392" s="181"/>
      <c r="BC392" s="173"/>
      <c r="BD392" s="173"/>
      <c r="BE392" s="173"/>
      <c r="BF392" s="173"/>
      <c r="BG392" s="173"/>
      <c r="BH392" s="173"/>
      <c r="BI392" s="173"/>
      <c r="BJ392" s="173"/>
      <c r="BK392" s="173"/>
      <c r="BL392" s="173"/>
      <c r="BM392" s="173"/>
      <c r="BN392" s="181"/>
      <c r="BO392" s="181"/>
      <c r="BP392" s="181"/>
      <c r="BQ392" s="181"/>
      <c r="BR392" s="181"/>
      <c r="BS392" s="181"/>
      <c r="BT392" s="181"/>
      <c r="BU392" s="173"/>
      <c r="BV392" s="173"/>
      <c r="BW392" s="173"/>
      <c r="BX392" s="173"/>
      <c r="BY392" s="173"/>
      <c r="BZ392" s="173"/>
      <c r="CA392" s="173"/>
      <c r="CB392" s="173"/>
      <c r="CC392" s="173"/>
      <c r="CD392" s="173"/>
      <c r="CE392" s="173"/>
      <c r="CF392" s="173"/>
      <c r="CG392" s="173"/>
      <c r="CH392" s="173"/>
      <c r="CI392" s="173"/>
      <c r="CJ392" s="173"/>
      <c r="CK392" s="173"/>
      <c r="CL392" s="173"/>
    </row>
    <row r="393" spans="1:90">
      <c r="A393" s="181"/>
      <c r="B393" s="181"/>
      <c r="C393" s="181"/>
      <c r="D393" s="181"/>
      <c r="E393" s="181"/>
      <c r="F393" s="181"/>
      <c r="G393" s="181"/>
      <c r="H393" s="181"/>
      <c r="I393" s="181"/>
      <c r="J393" s="181"/>
      <c r="K393" s="254"/>
      <c r="L393" s="181"/>
      <c r="M393" s="181"/>
      <c r="N393" s="181"/>
      <c r="O393" s="181"/>
      <c r="P393" s="181"/>
      <c r="Q393" s="181"/>
      <c r="R393" s="181"/>
      <c r="S393" s="181"/>
      <c r="T393" s="181"/>
      <c r="U393" s="181"/>
      <c r="V393" s="181"/>
      <c r="W393" s="181"/>
      <c r="X393" s="181"/>
      <c r="Y393" s="181"/>
      <c r="Z393" s="181"/>
      <c r="AA393" s="181"/>
      <c r="AB393" s="181"/>
      <c r="AC393" s="181"/>
      <c r="AD393" s="181"/>
      <c r="AE393" s="181"/>
      <c r="AF393" s="181"/>
      <c r="AG393" s="181"/>
      <c r="AH393" s="181"/>
      <c r="AI393" s="181"/>
      <c r="AJ393" s="181"/>
      <c r="AK393" s="181"/>
      <c r="AL393" s="181"/>
      <c r="AM393" s="181"/>
      <c r="AN393" s="181"/>
      <c r="AO393" s="181"/>
      <c r="AP393" s="181"/>
      <c r="AQ393" s="181"/>
      <c r="AR393" s="181"/>
      <c r="AS393" s="181"/>
      <c r="AT393" s="181"/>
      <c r="AU393" s="181"/>
      <c r="AV393" s="181"/>
      <c r="AW393" s="181"/>
      <c r="AX393" s="181"/>
      <c r="AY393" s="181"/>
      <c r="AZ393" s="181"/>
      <c r="BA393" s="181"/>
      <c r="BB393" s="181"/>
      <c r="BC393" s="173"/>
      <c r="BD393" s="173"/>
      <c r="BE393" s="173"/>
      <c r="BF393" s="173"/>
      <c r="BG393" s="173"/>
      <c r="BH393" s="173"/>
      <c r="BI393" s="173"/>
      <c r="BJ393" s="173"/>
      <c r="BK393" s="173"/>
      <c r="BL393" s="173"/>
      <c r="BM393" s="173"/>
      <c r="BN393" s="181"/>
      <c r="BO393" s="181"/>
      <c r="BP393" s="181"/>
      <c r="BQ393" s="181"/>
      <c r="BR393" s="181"/>
      <c r="BS393" s="181"/>
      <c r="BT393" s="181"/>
      <c r="BU393" s="173"/>
      <c r="BV393" s="173"/>
      <c r="BW393" s="173"/>
      <c r="BX393" s="173"/>
      <c r="BY393" s="173"/>
      <c r="BZ393" s="173"/>
      <c r="CA393" s="173"/>
      <c r="CB393" s="173"/>
      <c r="CC393" s="173"/>
      <c r="CD393" s="173"/>
      <c r="CE393" s="173"/>
      <c r="CF393" s="173"/>
      <c r="CG393" s="173"/>
      <c r="CH393" s="173"/>
      <c r="CI393" s="173"/>
      <c r="CJ393" s="173"/>
      <c r="CK393" s="173"/>
      <c r="CL393" s="173"/>
    </row>
    <row r="394" spans="1:90">
      <c r="A394" s="181"/>
      <c r="B394" s="181"/>
      <c r="C394" s="181"/>
      <c r="D394" s="181"/>
      <c r="E394" s="181"/>
      <c r="F394" s="181"/>
      <c r="G394" s="181"/>
      <c r="H394" s="181"/>
      <c r="I394" s="181"/>
      <c r="J394" s="181"/>
      <c r="K394" s="254"/>
      <c r="L394" s="181"/>
      <c r="M394" s="181"/>
      <c r="N394" s="181"/>
      <c r="O394" s="181"/>
      <c r="P394" s="181"/>
      <c r="Q394" s="181"/>
      <c r="R394" s="181"/>
      <c r="S394" s="181"/>
      <c r="T394" s="181"/>
      <c r="U394" s="181"/>
      <c r="V394" s="181"/>
      <c r="W394" s="181"/>
      <c r="X394" s="181"/>
      <c r="Y394" s="181"/>
      <c r="Z394" s="181"/>
      <c r="AA394" s="181"/>
      <c r="AB394" s="181"/>
      <c r="AC394" s="181"/>
      <c r="AD394" s="181"/>
      <c r="AE394" s="181"/>
      <c r="AF394" s="181"/>
      <c r="AG394" s="181"/>
      <c r="AH394" s="181"/>
      <c r="AI394" s="181"/>
      <c r="AJ394" s="181"/>
      <c r="AK394" s="181"/>
      <c r="AL394" s="181"/>
      <c r="AM394" s="181"/>
      <c r="AN394" s="181"/>
      <c r="AO394" s="181"/>
      <c r="AP394" s="181"/>
      <c r="AQ394" s="181"/>
      <c r="AR394" s="181"/>
      <c r="AS394" s="181"/>
      <c r="AT394" s="181"/>
      <c r="AU394" s="181"/>
      <c r="AV394" s="181"/>
      <c r="AW394" s="181"/>
      <c r="AX394" s="181"/>
      <c r="AY394" s="181"/>
      <c r="AZ394" s="181"/>
      <c r="BA394" s="181"/>
      <c r="BB394" s="181"/>
      <c r="BC394" s="173"/>
      <c r="BD394" s="173"/>
      <c r="BE394" s="173"/>
      <c r="BF394" s="173"/>
      <c r="BG394" s="173"/>
      <c r="BH394" s="173"/>
      <c r="BI394" s="173"/>
      <c r="BJ394" s="173"/>
      <c r="BK394" s="173"/>
      <c r="BL394" s="173"/>
      <c r="BM394" s="173"/>
      <c r="BN394" s="181"/>
      <c r="BO394" s="181"/>
      <c r="BP394" s="181"/>
      <c r="BQ394" s="181"/>
      <c r="BR394" s="181"/>
      <c r="BS394" s="181"/>
      <c r="BT394" s="181"/>
      <c r="BU394" s="173"/>
      <c r="BV394" s="173"/>
      <c r="BW394" s="173"/>
      <c r="BX394" s="173"/>
      <c r="BY394" s="173"/>
      <c r="BZ394" s="173"/>
      <c r="CA394" s="173"/>
      <c r="CB394" s="173"/>
      <c r="CC394" s="173"/>
      <c r="CD394" s="173"/>
      <c r="CE394" s="173"/>
      <c r="CF394" s="173"/>
      <c r="CG394" s="173"/>
      <c r="CH394" s="173"/>
      <c r="CI394" s="173"/>
      <c r="CJ394" s="173"/>
      <c r="CK394" s="173"/>
      <c r="CL394" s="173"/>
    </row>
    <row r="395" spans="1:90">
      <c r="A395" s="181"/>
      <c r="B395" s="181"/>
      <c r="C395" s="181"/>
      <c r="D395" s="181"/>
      <c r="E395" s="181"/>
      <c r="F395" s="181"/>
      <c r="G395" s="181"/>
      <c r="H395" s="181"/>
      <c r="I395" s="181"/>
      <c r="J395" s="181"/>
      <c r="K395" s="254"/>
      <c r="L395" s="181"/>
      <c r="M395" s="181"/>
      <c r="N395" s="181"/>
      <c r="O395" s="181"/>
      <c r="P395" s="181"/>
      <c r="Q395" s="181"/>
      <c r="R395" s="181"/>
      <c r="S395" s="181"/>
      <c r="T395" s="181"/>
      <c r="U395" s="181"/>
      <c r="V395" s="181"/>
      <c r="W395" s="181"/>
      <c r="X395" s="181"/>
      <c r="Y395" s="181"/>
      <c r="Z395" s="181"/>
      <c r="AA395" s="181"/>
      <c r="AB395" s="181"/>
      <c r="AC395" s="181"/>
      <c r="AD395" s="181"/>
      <c r="AE395" s="181"/>
      <c r="AF395" s="181"/>
      <c r="AG395" s="181"/>
      <c r="AH395" s="181"/>
      <c r="AI395" s="181"/>
      <c r="AJ395" s="181"/>
      <c r="AK395" s="181"/>
      <c r="AL395" s="181"/>
      <c r="AM395" s="181"/>
      <c r="AN395" s="181"/>
      <c r="AO395" s="181"/>
      <c r="AP395" s="181"/>
      <c r="AQ395" s="181"/>
      <c r="AR395" s="181"/>
      <c r="AS395" s="181"/>
      <c r="AT395" s="181"/>
      <c r="AU395" s="181"/>
      <c r="AV395" s="181"/>
      <c r="AW395" s="181"/>
      <c r="AX395" s="181"/>
      <c r="AY395" s="181"/>
      <c r="AZ395" s="181"/>
      <c r="BA395" s="181"/>
      <c r="BB395" s="181"/>
      <c r="BC395" s="173"/>
      <c r="BD395" s="173"/>
      <c r="BE395" s="173"/>
      <c r="BF395" s="173"/>
      <c r="BG395" s="173"/>
      <c r="BH395" s="173"/>
      <c r="BI395" s="173"/>
      <c r="BJ395" s="173"/>
      <c r="BK395" s="173"/>
      <c r="BL395" s="173"/>
      <c r="BM395" s="173"/>
      <c r="BN395" s="181"/>
      <c r="BO395" s="181"/>
      <c r="BP395" s="181"/>
      <c r="BQ395" s="181"/>
      <c r="BR395" s="181"/>
      <c r="BS395" s="181"/>
      <c r="BT395" s="181"/>
      <c r="BU395" s="173"/>
      <c r="BV395" s="173"/>
      <c r="BW395" s="173"/>
      <c r="BX395" s="173"/>
      <c r="BY395" s="173"/>
      <c r="BZ395" s="173"/>
      <c r="CA395" s="173"/>
      <c r="CB395" s="173"/>
      <c r="CC395" s="173"/>
      <c r="CD395" s="173"/>
      <c r="CE395" s="173"/>
      <c r="CF395" s="173"/>
      <c r="CG395" s="173"/>
      <c r="CH395" s="173"/>
      <c r="CI395" s="173"/>
      <c r="CJ395" s="173"/>
      <c r="CK395" s="173"/>
      <c r="CL395" s="173"/>
    </row>
    <row r="396" spans="1:90">
      <c r="A396" s="181"/>
      <c r="B396" s="181"/>
      <c r="C396" s="181"/>
      <c r="D396" s="181"/>
      <c r="E396" s="181"/>
      <c r="F396" s="181"/>
      <c r="G396" s="181"/>
      <c r="H396" s="181"/>
      <c r="I396" s="181"/>
      <c r="J396" s="181"/>
      <c r="K396" s="254"/>
      <c r="L396" s="181"/>
      <c r="M396" s="181"/>
      <c r="N396" s="181"/>
      <c r="O396" s="181"/>
      <c r="P396" s="181"/>
      <c r="Q396" s="181"/>
      <c r="R396" s="181"/>
      <c r="S396" s="181"/>
      <c r="T396" s="181"/>
      <c r="U396" s="181"/>
      <c r="V396" s="181"/>
      <c r="W396" s="181"/>
      <c r="X396" s="181"/>
      <c r="Y396" s="181"/>
      <c r="Z396" s="181"/>
      <c r="AA396" s="181"/>
      <c r="AB396" s="181"/>
      <c r="AC396" s="181"/>
      <c r="AD396" s="181"/>
      <c r="AE396" s="181"/>
      <c r="AF396" s="181"/>
      <c r="AG396" s="181"/>
      <c r="AH396" s="181"/>
      <c r="AI396" s="181"/>
      <c r="AJ396" s="181"/>
      <c r="AK396" s="181"/>
      <c r="AL396" s="181"/>
      <c r="AM396" s="181"/>
      <c r="AN396" s="181"/>
      <c r="AO396" s="181"/>
      <c r="AP396" s="181"/>
      <c r="AQ396" s="181"/>
      <c r="AR396" s="181"/>
      <c r="AS396" s="181"/>
      <c r="AT396" s="181"/>
      <c r="AU396" s="181"/>
      <c r="AV396" s="181"/>
      <c r="AW396" s="181"/>
      <c r="AX396" s="181"/>
      <c r="AY396" s="181"/>
      <c r="AZ396" s="181"/>
      <c r="BA396" s="181"/>
      <c r="BB396" s="181"/>
      <c r="BC396" s="173"/>
      <c r="BD396" s="173"/>
      <c r="BE396" s="173"/>
      <c r="BF396" s="173"/>
      <c r="BG396" s="173"/>
      <c r="BH396" s="173"/>
      <c r="BI396" s="173"/>
      <c r="BJ396" s="173"/>
      <c r="BK396" s="173"/>
      <c r="BL396" s="173"/>
      <c r="BM396" s="173"/>
      <c r="BN396" s="181"/>
      <c r="BO396" s="181"/>
      <c r="BP396" s="181"/>
      <c r="BQ396" s="181"/>
      <c r="BR396" s="181"/>
      <c r="BS396" s="181"/>
      <c r="BT396" s="181"/>
      <c r="BU396" s="173"/>
      <c r="BV396" s="173"/>
      <c r="BW396" s="173"/>
      <c r="BX396" s="173"/>
      <c r="BY396" s="173"/>
      <c r="BZ396" s="173"/>
      <c r="CA396" s="173"/>
      <c r="CB396" s="173"/>
      <c r="CC396" s="173"/>
      <c r="CD396" s="173"/>
      <c r="CE396" s="173"/>
      <c r="CF396" s="173"/>
      <c r="CG396" s="173"/>
      <c r="CH396" s="173"/>
      <c r="CI396" s="173"/>
      <c r="CJ396" s="173"/>
      <c r="CK396" s="173"/>
      <c r="CL396" s="173"/>
    </row>
    <row r="397" spans="1:90">
      <c r="A397" s="181"/>
      <c r="B397" s="181"/>
      <c r="C397" s="181"/>
      <c r="D397" s="181"/>
      <c r="E397" s="181"/>
      <c r="F397" s="181"/>
      <c r="G397" s="181"/>
      <c r="H397" s="181"/>
      <c r="I397" s="181"/>
      <c r="J397" s="181"/>
      <c r="K397" s="254"/>
      <c r="L397" s="181"/>
      <c r="M397" s="181"/>
      <c r="N397" s="181"/>
      <c r="O397" s="181"/>
      <c r="P397" s="181"/>
      <c r="Q397" s="181"/>
      <c r="R397" s="181"/>
      <c r="S397" s="181"/>
      <c r="T397" s="181"/>
      <c r="U397" s="181"/>
      <c r="V397" s="181"/>
      <c r="W397" s="181"/>
      <c r="X397" s="181"/>
      <c r="Y397" s="181"/>
      <c r="Z397" s="181"/>
      <c r="AA397" s="181"/>
      <c r="AB397" s="181"/>
      <c r="AC397" s="181"/>
      <c r="AD397" s="181"/>
      <c r="AE397" s="181"/>
      <c r="AF397" s="181"/>
      <c r="AG397" s="181"/>
      <c r="AH397" s="181"/>
      <c r="AI397" s="181"/>
      <c r="AJ397" s="181"/>
      <c r="AK397" s="181"/>
      <c r="AL397" s="181"/>
      <c r="AM397" s="181"/>
      <c r="AN397" s="181"/>
      <c r="AO397" s="181"/>
      <c r="AP397" s="181"/>
      <c r="AQ397" s="181"/>
      <c r="AR397" s="181"/>
      <c r="AS397" s="181"/>
      <c r="AT397" s="181"/>
      <c r="AU397" s="181"/>
      <c r="AV397" s="181"/>
      <c r="AW397" s="181"/>
      <c r="AX397" s="181"/>
      <c r="AY397" s="181"/>
      <c r="AZ397" s="181"/>
      <c r="BA397" s="181"/>
      <c r="BB397" s="181"/>
      <c r="BC397" s="173"/>
      <c r="BD397" s="173"/>
      <c r="BE397" s="173"/>
      <c r="BF397" s="173"/>
      <c r="BG397" s="173"/>
      <c r="BH397" s="173"/>
      <c r="BI397" s="173"/>
      <c r="BJ397" s="173"/>
      <c r="BK397" s="173"/>
      <c r="BL397" s="173"/>
      <c r="BM397" s="173"/>
      <c r="BN397" s="181"/>
      <c r="BO397" s="181"/>
      <c r="BP397" s="181"/>
      <c r="BQ397" s="181"/>
      <c r="BR397" s="181"/>
      <c r="BS397" s="181"/>
      <c r="BT397" s="181"/>
      <c r="BU397" s="173"/>
      <c r="BV397" s="173"/>
      <c r="BW397" s="173"/>
      <c r="BX397" s="173"/>
      <c r="BY397" s="173"/>
      <c r="BZ397" s="173"/>
      <c r="CA397" s="173"/>
      <c r="CB397" s="173"/>
      <c r="CC397" s="173"/>
      <c r="CD397" s="173"/>
      <c r="CE397" s="173"/>
      <c r="CF397" s="173"/>
      <c r="CG397" s="173"/>
      <c r="CH397" s="173"/>
      <c r="CI397" s="173"/>
      <c r="CJ397" s="173"/>
      <c r="CK397" s="173"/>
      <c r="CL397" s="173"/>
    </row>
    <row r="398" spans="1:90">
      <c r="A398" s="181"/>
      <c r="B398" s="181"/>
      <c r="C398" s="181"/>
      <c r="D398" s="181"/>
      <c r="E398" s="181"/>
      <c r="F398" s="181"/>
      <c r="G398" s="181"/>
      <c r="H398" s="181"/>
      <c r="I398" s="181"/>
      <c r="J398" s="181"/>
      <c r="K398" s="254"/>
      <c r="L398" s="181"/>
      <c r="M398" s="181"/>
      <c r="N398" s="181"/>
      <c r="O398" s="181"/>
      <c r="P398" s="181"/>
      <c r="Q398" s="181"/>
      <c r="R398" s="181"/>
      <c r="S398" s="181"/>
      <c r="T398" s="181"/>
      <c r="U398" s="181"/>
      <c r="V398" s="181"/>
      <c r="W398" s="181"/>
      <c r="X398" s="181"/>
      <c r="Y398" s="181"/>
      <c r="Z398" s="181"/>
      <c r="AA398" s="181"/>
      <c r="AB398" s="181"/>
      <c r="AC398" s="181"/>
      <c r="AD398" s="181"/>
      <c r="AE398" s="181"/>
      <c r="AF398" s="181"/>
      <c r="AG398" s="181"/>
      <c r="AH398" s="181"/>
      <c r="AI398" s="181"/>
      <c r="AJ398" s="181"/>
      <c r="AK398" s="181"/>
      <c r="AL398" s="181"/>
      <c r="AM398" s="181"/>
      <c r="AN398" s="181"/>
      <c r="AO398" s="181"/>
      <c r="AP398" s="181"/>
      <c r="AQ398" s="181"/>
      <c r="AR398" s="181"/>
      <c r="AS398" s="181"/>
      <c r="AT398" s="181"/>
      <c r="AU398" s="181"/>
      <c r="AV398" s="181"/>
      <c r="AW398" s="181"/>
      <c r="AX398" s="181"/>
      <c r="AY398" s="181"/>
      <c r="AZ398" s="181"/>
      <c r="BA398" s="181"/>
      <c r="BB398" s="181"/>
      <c r="BC398" s="173"/>
      <c r="BD398" s="173"/>
      <c r="BE398" s="173"/>
      <c r="BF398" s="173"/>
      <c r="BG398" s="173"/>
      <c r="BH398" s="173"/>
      <c r="BI398" s="173"/>
      <c r="BJ398" s="173"/>
      <c r="BK398" s="173"/>
      <c r="BL398" s="173"/>
      <c r="BM398" s="173"/>
      <c r="BN398" s="181"/>
      <c r="BO398" s="181"/>
      <c r="BP398" s="181"/>
      <c r="BQ398" s="181"/>
      <c r="BR398" s="181"/>
      <c r="BS398" s="181"/>
      <c r="BT398" s="181"/>
      <c r="BU398" s="173"/>
      <c r="BV398" s="173"/>
      <c r="BW398" s="173"/>
      <c r="BX398" s="173"/>
      <c r="BY398" s="173"/>
      <c r="BZ398" s="173"/>
      <c r="CA398" s="173"/>
      <c r="CB398" s="173"/>
      <c r="CC398" s="173"/>
      <c r="CD398" s="173"/>
      <c r="CE398" s="173"/>
      <c r="CF398" s="173"/>
      <c r="CG398" s="173"/>
      <c r="CH398" s="173"/>
      <c r="CI398" s="173"/>
      <c r="CJ398" s="173"/>
      <c r="CK398" s="173"/>
      <c r="CL398" s="173"/>
    </row>
    <row r="399" spans="1:90">
      <c r="A399" s="181"/>
      <c r="B399" s="181"/>
      <c r="C399" s="181"/>
      <c r="D399" s="181"/>
      <c r="E399" s="181"/>
      <c r="F399" s="181"/>
      <c r="G399" s="181"/>
      <c r="H399" s="181"/>
      <c r="I399" s="181"/>
      <c r="J399" s="181"/>
      <c r="K399" s="254"/>
      <c r="L399" s="181"/>
      <c r="M399" s="181"/>
      <c r="N399" s="181"/>
      <c r="O399" s="181"/>
      <c r="P399" s="181"/>
      <c r="Q399" s="181"/>
      <c r="R399" s="181"/>
      <c r="S399" s="181"/>
      <c r="T399" s="181"/>
      <c r="U399" s="181"/>
      <c r="V399" s="181"/>
      <c r="W399" s="181"/>
      <c r="X399" s="181"/>
      <c r="Y399" s="181"/>
      <c r="Z399" s="181"/>
      <c r="AA399" s="181"/>
      <c r="AB399" s="181"/>
      <c r="AC399" s="181"/>
      <c r="AD399" s="181"/>
      <c r="AE399" s="181"/>
      <c r="AF399" s="181"/>
      <c r="AG399" s="181"/>
      <c r="AH399" s="181"/>
      <c r="AI399" s="181"/>
      <c r="AJ399" s="181"/>
      <c r="AK399" s="181"/>
      <c r="AL399" s="181"/>
      <c r="AM399" s="181"/>
      <c r="AN399" s="181"/>
      <c r="AO399" s="181"/>
      <c r="AP399" s="181"/>
      <c r="AQ399" s="181"/>
      <c r="AR399" s="181"/>
      <c r="AS399" s="181"/>
      <c r="AT399" s="181"/>
      <c r="AU399" s="181"/>
      <c r="AV399" s="181"/>
      <c r="AW399" s="181"/>
      <c r="AX399" s="181"/>
      <c r="AY399" s="181"/>
      <c r="AZ399" s="181"/>
      <c r="BA399" s="181"/>
      <c r="BB399" s="181"/>
      <c r="BC399" s="173"/>
      <c r="BD399" s="173"/>
      <c r="BE399" s="173"/>
      <c r="BF399" s="173"/>
      <c r="BG399" s="173"/>
      <c r="BH399" s="173"/>
      <c r="BI399" s="173"/>
      <c r="BJ399" s="173"/>
      <c r="BK399" s="173"/>
      <c r="BL399" s="173"/>
      <c r="BM399" s="173"/>
      <c r="BN399" s="181"/>
      <c r="BO399" s="181"/>
      <c r="BP399" s="181"/>
      <c r="BQ399" s="181"/>
      <c r="BR399" s="181"/>
      <c r="BS399" s="181"/>
      <c r="BT399" s="181"/>
      <c r="BU399" s="173"/>
      <c r="BV399" s="173"/>
      <c r="BW399" s="173"/>
      <c r="BX399" s="173"/>
      <c r="BY399" s="173"/>
      <c r="BZ399" s="173"/>
      <c r="CA399" s="173"/>
      <c r="CB399" s="173"/>
      <c r="CC399" s="173"/>
      <c r="CD399" s="173"/>
      <c r="CE399" s="173"/>
      <c r="CF399" s="173"/>
      <c r="CG399" s="173"/>
      <c r="CH399" s="173"/>
      <c r="CI399" s="173"/>
      <c r="CJ399" s="173"/>
      <c r="CK399" s="173"/>
      <c r="CL399" s="173"/>
    </row>
    <row r="400" spans="1:90">
      <c r="A400" s="181"/>
      <c r="B400" s="181"/>
      <c r="C400" s="181"/>
      <c r="D400" s="181"/>
      <c r="E400" s="181"/>
      <c r="F400" s="181"/>
      <c r="G400" s="181"/>
      <c r="H400" s="181"/>
      <c r="I400" s="181"/>
      <c r="J400" s="181"/>
      <c r="K400" s="254"/>
      <c r="L400" s="181"/>
      <c r="M400" s="181"/>
      <c r="N400" s="181"/>
      <c r="O400" s="181"/>
      <c r="P400" s="181"/>
      <c r="Q400" s="181"/>
      <c r="R400" s="181"/>
      <c r="S400" s="181"/>
      <c r="T400" s="181"/>
      <c r="U400" s="181"/>
      <c r="V400" s="181"/>
      <c r="W400" s="181"/>
      <c r="X400" s="181"/>
      <c r="Y400" s="181"/>
      <c r="Z400" s="181"/>
      <c r="AA400" s="181"/>
      <c r="AB400" s="181"/>
      <c r="AC400" s="181"/>
      <c r="AD400" s="181"/>
      <c r="AE400" s="181"/>
      <c r="AF400" s="181"/>
      <c r="AG400" s="181"/>
      <c r="AH400" s="181"/>
      <c r="AI400" s="181"/>
      <c r="AJ400" s="181"/>
      <c r="AK400" s="181"/>
      <c r="AL400" s="181"/>
      <c r="AM400" s="181"/>
      <c r="AN400" s="181"/>
      <c r="AO400" s="181"/>
      <c r="AP400" s="181"/>
      <c r="AQ400" s="181"/>
      <c r="AR400" s="181"/>
      <c r="AS400" s="181"/>
      <c r="AT400" s="181"/>
      <c r="AU400" s="181"/>
      <c r="AV400" s="181"/>
      <c r="AW400" s="181"/>
      <c r="AX400" s="181"/>
      <c r="AY400" s="181"/>
      <c r="AZ400" s="181"/>
      <c r="BA400" s="181"/>
      <c r="BB400" s="181"/>
      <c r="BC400" s="173"/>
      <c r="BD400" s="173"/>
      <c r="BE400" s="173"/>
      <c r="BF400" s="173"/>
      <c r="BG400" s="173"/>
      <c r="BH400" s="173"/>
      <c r="BI400" s="173"/>
      <c r="BJ400" s="173"/>
      <c r="BK400" s="173"/>
      <c r="BL400" s="173"/>
      <c r="BM400" s="173"/>
      <c r="BN400" s="181"/>
      <c r="BO400" s="181"/>
      <c r="BP400" s="181"/>
      <c r="BQ400" s="181"/>
      <c r="BR400" s="181"/>
      <c r="BS400" s="181"/>
      <c r="BT400" s="181"/>
      <c r="BU400" s="173"/>
      <c r="BV400" s="173"/>
      <c r="BW400" s="173"/>
      <c r="BX400" s="173"/>
      <c r="BY400" s="173"/>
      <c r="BZ400" s="173"/>
      <c r="CA400" s="173"/>
      <c r="CB400" s="173"/>
      <c r="CC400" s="173"/>
      <c r="CD400" s="173"/>
      <c r="CE400" s="173"/>
      <c r="CF400" s="173"/>
      <c r="CG400" s="173"/>
      <c r="CH400" s="173"/>
      <c r="CI400" s="173"/>
      <c r="CJ400" s="173"/>
      <c r="CK400" s="173"/>
      <c r="CL400" s="173"/>
    </row>
    <row r="401" spans="1:90">
      <c r="A401" s="181"/>
      <c r="B401" s="181"/>
      <c r="C401" s="181"/>
      <c r="D401" s="181"/>
      <c r="E401" s="181"/>
      <c r="F401" s="181"/>
      <c r="G401" s="181"/>
      <c r="H401" s="181"/>
      <c r="I401" s="181"/>
      <c r="J401" s="181"/>
      <c r="K401" s="254"/>
      <c r="L401" s="181"/>
      <c r="M401" s="181"/>
      <c r="N401" s="181"/>
      <c r="O401" s="181"/>
      <c r="P401" s="181"/>
      <c r="Q401" s="181"/>
      <c r="R401" s="181"/>
      <c r="S401" s="181"/>
      <c r="T401" s="181"/>
      <c r="U401" s="181"/>
      <c r="V401" s="181"/>
      <c r="W401" s="181"/>
      <c r="X401" s="181"/>
      <c r="Y401" s="181"/>
      <c r="Z401" s="181"/>
      <c r="AA401" s="181"/>
      <c r="AB401" s="181"/>
      <c r="AC401" s="181"/>
      <c r="AD401" s="181"/>
      <c r="AE401" s="181"/>
      <c r="AF401" s="181"/>
      <c r="AG401" s="181"/>
      <c r="AH401" s="181"/>
      <c r="AI401" s="181"/>
      <c r="AJ401" s="181"/>
      <c r="AK401" s="181"/>
      <c r="AL401" s="181"/>
      <c r="AM401" s="181"/>
      <c r="AN401" s="181"/>
      <c r="AO401" s="181"/>
      <c r="AP401" s="181"/>
      <c r="AQ401" s="181"/>
      <c r="AR401" s="181"/>
      <c r="AS401" s="181"/>
      <c r="AT401" s="181"/>
      <c r="AU401" s="181"/>
      <c r="AV401" s="181"/>
      <c r="AW401" s="181"/>
      <c r="AX401" s="181"/>
      <c r="AY401" s="181"/>
      <c r="AZ401" s="181"/>
      <c r="BA401" s="181"/>
      <c r="BB401" s="181"/>
      <c r="BC401" s="173"/>
      <c r="BD401" s="173"/>
      <c r="BE401" s="173"/>
      <c r="BF401" s="173"/>
      <c r="BG401" s="173"/>
      <c r="BH401" s="173"/>
      <c r="BI401" s="173"/>
      <c r="BJ401" s="173"/>
      <c r="BK401" s="173"/>
      <c r="BL401" s="173"/>
      <c r="BM401" s="173"/>
      <c r="BN401" s="181"/>
      <c r="BO401" s="181"/>
      <c r="BP401" s="181"/>
      <c r="BQ401" s="181"/>
      <c r="BR401" s="181"/>
      <c r="BS401" s="181"/>
      <c r="BT401" s="181"/>
      <c r="BU401" s="173"/>
      <c r="BV401" s="173"/>
      <c r="BW401" s="173"/>
      <c r="BX401" s="173"/>
      <c r="BY401" s="173"/>
      <c r="BZ401" s="173"/>
      <c r="CA401" s="173"/>
      <c r="CB401" s="173"/>
      <c r="CC401" s="173"/>
      <c r="CD401" s="173"/>
      <c r="CE401" s="173"/>
      <c r="CF401" s="173"/>
      <c r="CG401" s="173"/>
      <c r="CH401" s="173"/>
      <c r="CI401" s="173"/>
      <c r="CJ401" s="173"/>
      <c r="CK401" s="173"/>
      <c r="CL401" s="173"/>
    </row>
    <row r="402" spans="1:90">
      <c r="A402" s="181"/>
      <c r="B402" s="181"/>
      <c r="C402" s="181"/>
      <c r="D402" s="181"/>
      <c r="E402" s="181"/>
      <c r="F402" s="181"/>
      <c r="G402" s="181"/>
      <c r="H402" s="181"/>
      <c r="I402" s="181"/>
      <c r="J402" s="181"/>
      <c r="K402" s="254"/>
      <c r="L402" s="181"/>
      <c r="M402" s="181"/>
      <c r="N402" s="181"/>
      <c r="O402" s="181"/>
      <c r="P402" s="181"/>
      <c r="Q402" s="181"/>
      <c r="R402" s="181"/>
      <c r="S402" s="181"/>
      <c r="T402" s="181"/>
      <c r="U402" s="181"/>
      <c r="V402" s="181"/>
      <c r="W402" s="181"/>
      <c r="X402" s="181"/>
      <c r="Y402" s="181"/>
      <c r="Z402" s="181"/>
      <c r="AA402" s="181"/>
      <c r="AB402" s="181"/>
      <c r="AC402" s="181"/>
      <c r="AD402" s="181"/>
      <c r="AE402" s="181"/>
      <c r="AF402" s="181"/>
      <c r="AG402" s="181"/>
      <c r="AH402" s="181"/>
      <c r="AI402" s="181"/>
      <c r="AJ402" s="181"/>
      <c r="AK402" s="181"/>
      <c r="AL402" s="181"/>
      <c r="AM402" s="181"/>
      <c r="AN402" s="181"/>
      <c r="AO402" s="181"/>
      <c r="AP402" s="181"/>
      <c r="AQ402" s="181"/>
      <c r="AR402" s="181"/>
      <c r="AS402" s="181"/>
      <c r="AT402" s="181"/>
      <c r="AU402" s="181"/>
      <c r="AV402" s="181"/>
      <c r="AW402" s="181"/>
      <c r="AX402" s="181"/>
      <c r="AY402" s="181"/>
      <c r="AZ402" s="181"/>
      <c r="BA402" s="181"/>
      <c r="BB402" s="181"/>
      <c r="BC402" s="173"/>
      <c r="BD402" s="173"/>
      <c r="BE402" s="173"/>
      <c r="BF402" s="173"/>
      <c r="BG402" s="173"/>
      <c r="BH402" s="173"/>
      <c r="BI402" s="173"/>
      <c r="BJ402" s="173"/>
      <c r="BK402" s="173"/>
      <c r="BL402" s="173"/>
      <c r="BM402" s="173"/>
      <c r="BN402" s="181"/>
      <c r="BO402" s="181"/>
      <c r="BP402" s="181"/>
      <c r="BQ402" s="181"/>
      <c r="BR402" s="181"/>
      <c r="BS402" s="181"/>
      <c r="BT402" s="181"/>
      <c r="BU402" s="173"/>
      <c r="BV402" s="173"/>
      <c r="BW402" s="173"/>
      <c r="BX402" s="173"/>
      <c r="BY402" s="173"/>
      <c r="BZ402" s="173"/>
      <c r="CA402" s="173"/>
      <c r="CB402" s="173"/>
      <c r="CC402" s="173"/>
      <c r="CD402" s="173"/>
      <c r="CE402" s="173"/>
      <c r="CF402" s="173"/>
      <c r="CG402" s="173"/>
      <c r="CH402" s="173"/>
      <c r="CI402" s="173"/>
      <c r="CJ402" s="173"/>
      <c r="CK402" s="173"/>
      <c r="CL402" s="173"/>
    </row>
    <row r="403" spans="1:90">
      <c r="A403" s="181"/>
      <c r="B403" s="181"/>
      <c r="C403" s="181"/>
      <c r="D403" s="181"/>
      <c r="E403" s="181"/>
      <c r="F403" s="181"/>
      <c r="G403" s="181"/>
      <c r="H403" s="181"/>
      <c r="I403" s="181"/>
      <c r="J403" s="181"/>
      <c r="K403" s="254"/>
      <c r="L403" s="181"/>
      <c r="M403" s="181"/>
      <c r="N403" s="181"/>
      <c r="O403" s="181"/>
      <c r="P403" s="181"/>
      <c r="Q403" s="181"/>
      <c r="R403" s="181"/>
      <c r="S403" s="181"/>
      <c r="T403" s="181"/>
      <c r="U403" s="181"/>
      <c r="V403" s="181"/>
      <c r="W403" s="181"/>
      <c r="X403" s="181"/>
      <c r="Y403" s="181"/>
      <c r="Z403" s="181"/>
      <c r="AA403" s="181"/>
      <c r="AB403" s="181"/>
      <c r="AC403" s="181"/>
      <c r="AD403" s="181"/>
      <c r="AE403" s="181"/>
      <c r="AF403" s="181"/>
      <c r="AG403" s="181"/>
      <c r="AH403" s="181"/>
      <c r="AI403" s="181"/>
      <c r="AJ403" s="181"/>
      <c r="AK403" s="181"/>
      <c r="AL403" s="181"/>
      <c r="AM403" s="181"/>
      <c r="AN403" s="181"/>
      <c r="AO403" s="181"/>
      <c r="AP403" s="181"/>
      <c r="AQ403" s="181"/>
      <c r="AR403" s="181"/>
      <c r="AS403" s="181"/>
      <c r="AT403" s="181"/>
      <c r="AU403" s="181"/>
      <c r="AV403" s="181"/>
      <c r="AW403" s="181"/>
      <c r="AX403" s="181"/>
      <c r="AY403" s="181"/>
      <c r="AZ403" s="181"/>
      <c r="BA403" s="181"/>
      <c r="BB403" s="181"/>
      <c r="BC403" s="173"/>
      <c r="BD403" s="173"/>
      <c r="BE403" s="173"/>
      <c r="BF403" s="173"/>
      <c r="BG403" s="173"/>
      <c r="BH403" s="173"/>
      <c r="BI403" s="173"/>
      <c r="BJ403" s="173"/>
      <c r="BK403" s="173"/>
      <c r="BL403" s="173"/>
      <c r="BM403" s="173"/>
      <c r="BN403" s="181"/>
      <c r="BO403" s="181"/>
      <c r="BP403" s="181"/>
      <c r="BQ403" s="181"/>
      <c r="BR403" s="181"/>
      <c r="BS403" s="181"/>
      <c r="BT403" s="181"/>
      <c r="BU403" s="173"/>
      <c r="BV403" s="173"/>
      <c r="BW403" s="173"/>
      <c r="BX403" s="173"/>
      <c r="BY403" s="173"/>
      <c r="BZ403" s="173"/>
      <c r="CA403" s="173"/>
      <c r="CB403" s="173"/>
      <c r="CC403" s="173"/>
      <c r="CD403" s="173"/>
      <c r="CE403" s="173"/>
      <c r="CF403" s="173"/>
      <c r="CG403" s="173"/>
      <c r="CH403" s="173"/>
      <c r="CI403" s="173"/>
      <c r="CJ403" s="173"/>
      <c r="CK403" s="173"/>
      <c r="CL403" s="173"/>
    </row>
    <row r="404" spans="1:90">
      <c r="A404" s="181"/>
      <c r="B404" s="181"/>
      <c r="C404" s="181"/>
      <c r="D404" s="181"/>
      <c r="E404" s="181"/>
      <c r="F404" s="181"/>
      <c r="G404" s="181"/>
      <c r="H404" s="181"/>
      <c r="I404" s="181"/>
      <c r="J404" s="181"/>
      <c r="K404" s="254"/>
      <c r="L404" s="181"/>
      <c r="M404" s="181"/>
      <c r="N404" s="181"/>
      <c r="O404" s="181"/>
      <c r="P404" s="181"/>
      <c r="Q404" s="181"/>
      <c r="R404" s="181"/>
      <c r="S404" s="181"/>
      <c r="T404" s="181"/>
      <c r="U404" s="181"/>
      <c r="V404" s="181"/>
      <c r="W404" s="181"/>
      <c r="X404" s="181"/>
      <c r="Y404" s="181"/>
      <c r="Z404" s="181"/>
      <c r="AA404" s="181"/>
      <c r="AB404" s="181"/>
      <c r="AC404" s="181"/>
      <c r="AD404" s="181"/>
      <c r="AE404" s="181"/>
      <c r="AF404" s="181"/>
      <c r="AG404" s="181"/>
      <c r="AH404" s="181"/>
      <c r="AI404" s="181"/>
      <c r="AJ404" s="181"/>
      <c r="AK404" s="181"/>
      <c r="AL404" s="181"/>
      <c r="AM404" s="181"/>
      <c r="AN404" s="181"/>
      <c r="AO404" s="181"/>
      <c r="AP404" s="181"/>
      <c r="AQ404" s="181"/>
      <c r="AR404" s="181"/>
      <c r="AS404" s="181"/>
      <c r="AT404" s="181"/>
      <c r="AU404" s="181"/>
      <c r="AV404" s="181"/>
      <c r="AW404" s="181"/>
      <c r="AX404" s="181"/>
      <c r="AY404" s="181"/>
      <c r="AZ404" s="181"/>
      <c r="BA404" s="181"/>
      <c r="BB404" s="181"/>
      <c r="BC404" s="173"/>
      <c r="BD404" s="173"/>
      <c r="BE404" s="173"/>
      <c r="BF404" s="173"/>
      <c r="BG404" s="173"/>
      <c r="BH404" s="173"/>
      <c r="BI404" s="173"/>
      <c r="BJ404" s="173"/>
      <c r="BK404" s="173"/>
      <c r="BL404" s="173"/>
      <c r="BM404" s="173"/>
      <c r="BN404" s="181"/>
      <c r="BO404" s="181"/>
      <c r="BP404" s="181"/>
      <c r="BQ404" s="181"/>
      <c r="BR404" s="181"/>
      <c r="BS404" s="181"/>
      <c r="BT404" s="181"/>
      <c r="BU404" s="173"/>
      <c r="BV404" s="173"/>
      <c r="BW404" s="173"/>
      <c r="BX404" s="173"/>
      <c r="BY404" s="173"/>
      <c r="BZ404" s="173"/>
      <c r="CA404" s="173"/>
      <c r="CB404" s="173"/>
      <c r="CC404" s="173"/>
      <c r="CD404" s="173"/>
      <c r="CE404" s="173"/>
      <c r="CF404" s="173"/>
      <c r="CG404" s="173"/>
      <c r="CH404" s="173"/>
      <c r="CI404" s="173"/>
      <c r="CJ404" s="173"/>
      <c r="CK404" s="173"/>
      <c r="CL404" s="173"/>
    </row>
    <row r="405" spans="1:90">
      <c r="A405" s="181"/>
      <c r="B405" s="181"/>
      <c r="C405" s="181"/>
      <c r="D405" s="181"/>
      <c r="E405" s="181"/>
      <c r="F405" s="181"/>
      <c r="G405" s="181"/>
      <c r="H405" s="181"/>
      <c r="I405" s="181"/>
      <c r="J405" s="181"/>
      <c r="K405" s="254"/>
      <c r="L405" s="181"/>
      <c r="M405" s="181"/>
      <c r="N405" s="181"/>
      <c r="O405" s="181"/>
      <c r="P405" s="181"/>
      <c r="Q405" s="181"/>
      <c r="R405" s="181"/>
      <c r="S405" s="181"/>
      <c r="T405" s="181"/>
      <c r="U405" s="181"/>
      <c r="V405" s="181"/>
      <c r="W405" s="181"/>
      <c r="X405" s="181"/>
      <c r="Y405" s="181"/>
      <c r="Z405" s="181"/>
      <c r="AA405" s="181"/>
      <c r="AB405" s="181"/>
      <c r="AC405" s="181"/>
      <c r="AD405" s="181"/>
      <c r="AE405" s="181"/>
      <c r="AF405" s="181"/>
      <c r="AG405" s="181"/>
      <c r="AH405" s="181"/>
      <c r="AI405" s="181"/>
      <c r="AJ405" s="181"/>
      <c r="AK405" s="181"/>
      <c r="AL405" s="181"/>
      <c r="AM405" s="181"/>
      <c r="AN405" s="181"/>
      <c r="AO405" s="181"/>
      <c r="AP405" s="181"/>
      <c r="AQ405" s="181"/>
      <c r="AR405" s="181"/>
      <c r="AS405" s="181"/>
      <c r="AT405" s="181"/>
      <c r="AU405" s="181"/>
      <c r="AV405" s="181"/>
      <c r="AW405" s="181"/>
      <c r="AX405" s="181"/>
      <c r="AY405" s="181"/>
      <c r="AZ405" s="181"/>
      <c r="BA405" s="181"/>
      <c r="BB405" s="181"/>
      <c r="BC405" s="173"/>
      <c r="BD405" s="173"/>
      <c r="BE405" s="173"/>
      <c r="BF405" s="173"/>
      <c r="BG405" s="173"/>
      <c r="BH405" s="173"/>
      <c r="BI405" s="173"/>
      <c r="BJ405" s="173"/>
      <c r="BK405" s="173"/>
      <c r="BL405" s="173"/>
      <c r="BM405" s="173"/>
      <c r="BN405" s="181"/>
      <c r="BO405" s="181"/>
      <c r="BP405" s="181"/>
      <c r="BQ405" s="181"/>
      <c r="BR405" s="181"/>
      <c r="BS405" s="181"/>
      <c r="BT405" s="181"/>
      <c r="BU405" s="173"/>
      <c r="BV405" s="173"/>
      <c r="BW405" s="173"/>
      <c r="BX405" s="173"/>
      <c r="BY405" s="173"/>
      <c r="BZ405" s="173"/>
      <c r="CA405" s="173"/>
      <c r="CB405" s="173"/>
      <c r="CC405" s="173"/>
      <c r="CD405" s="173"/>
      <c r="CE405" s="173"/>
      <c r="CF405" s="173"/>
      <c r="CG405" s="173"/>
      <c r="CH405" s="173"/>
      <c r="CI405" s="173"/>
      <c r="CJ405" s="173"/>
      <c r="CK405" s="173"/>
      <c r="CL405" s="173"/>
    </row>
    <row r="406" spans="1:90">
      <c r="A406" s="181"/>
      <c r="B406" s="181"/>
      <c r="C406" s="181"/>
      <c r="D406" s="181"/>
      <c r="E406" s="181"/>
      <c r="F406" s="181"/>
      <c r="G406" s="181"/>
      <c r="H406" s="181"/>
      <c r="I406" s="181"/>
      <c r="J406" s="181"/>
      <c r="K406" s="254"/>
      <c r="L406" s="181"/>
      <c r="M406" s="181"/>
      <c r="N406" s="181"/>
      <c r="O406" s="181"/>
      <c r="P406" s="181"/>
      <c r="Q406" s="181"/>
      <c r="R406" s="181"/>
      <c r="S406" s="181"/>
      <c r="T406" s="181"/>
      <c r="U406" s="181"/>
      <c r="V406" s="181"/>
      <c r="W406" s="181"/>
      <c r="X406" s="181"/>
      <c r="Y406" s="181"/>
      <c r="Z406" s="181"/>
      <c r="AA406" s="181"/>
      <c r="AB406" s="181"/>
      <c r="AC406" s="181"/>
      <c r="AD406" s="181"/>
      <c r="AE406" s="181"/>
      <c r="AF406" s="181"/>
      <c r="AG406" s="181"/>
      <c r="AH406" s="181"/>
      <c r="AI406" s="181"/>
      <c r="AJ406" s="181"/>
      <c r="AK406" s="181"/>
      <c r="AL406" s="181"/>
      <c r="AM406" s="181"/>
      <c r="AN406" s="181"/>
      <c r="AO406" s="181"/>
      <c r="AP406" s="181"/>
      <c r="AQ406" s="181"/>
      <c r="AR406" s="181"/>
      <c r="AS406" s="181"/>
      <c r="AT406" s="181"/>
      <c r="AU406" s="181"/>
      <c r="AV406" s="181"/>
      <c r="AW406" s="181"/>
      <c r="AX406" s="181"/>
      <c r="AY406" s="181"/>
      <c r="AZ406" s="181"/>
      <c r="BA406" s="181"/>
      <c r="BB406" s="181"/>
      <c r="BC406" s="173"/>
      <c r="BD406" s="173"/>
      <c r="BE406" s="173"/>
      <c r="BF406" s="173"/>
      <c r="BG406" s="173"/>
      <c r="BH406" s="173"/>
      <c r="BI406" s="173"/>
      <c r="BJ406" s="173"/>
      <c r="BK406" s="173"/>
      <c r="BL406" s="173"/>
      <c r="BM406" s="173"/>
      <c r="BN406" s="181"/>
      <c r="BO406" s="181"/>
      <c r="BP406" s="181"/>
      <c r="BQ406" s="181"/>
      <c r="BR406" s="181"/>
      <c r="BS406" s="181"/>
      <c r="BT406" s="181"/>
      <c r="BU406" s="173"/>
      <c r="BV406" s="173"/>
      <c r="BW406" s="173"/>
      <c r="BX406" s="173"/>
      <c r="BY406" s="173"/>
      <c r="BZ406" s="173"/>
      <c r="CA406" s="173"/>
      <c r="CB406" s="173"/>
      <c r="CC406" s="173"/>
      <c r="CD406" s="173"/>
      <c r="CE406" s="173"/>
      <c r="CF406" s="173"/>
      <c r="CG406" s="173"/>
      <c r="CH406" s="173"/>
      <c r="CI406" s="173"/>
      <c r="CJ406" s="173"/>
      <c r="CK406" s="173"/>
      <c r="CL406" s="173"/>
    </row>
    <row r="407" spans="1:90">
      <c r="A407" s="181"/>
      <c r="B407" s="181"/>
      <c r="C407" s="181"/>
      <c r="D407" s="181"/>
      <c r="E407" s="181"/>
      <c r="F407" s="181"/>
      <c r="G407" s="181"/>
      <c r="H407" s="181"/>
      <c r="I407" s="181"/>
      <c r="J407" s="181"/>
      <c r="K407" s="254"/>
      <c r="L407" s="181"/>
      <c r="M407" s="181"/>
      <c r="N407" s="181"/>
      <c r="O407" s="181"/>
      <c r="P407" s="181"/>
      <c r="Q407" s="181"/>
      <c r="R407" s="181"/>
      <c r="S407" s="181"/>
      <c r="T407" s="181"/>
      <c r="U407" s="181"/>
      <c r="V407" s="181"/>
      <c r="W407" s="181"/>
      <c r="X407" s="181"/>
      <c r="Y407" s="181"/>
      <c r="Z407" s="181"/>
      <c r="AA407" s="181"/>
      <c r="AB407" s="181"/>
      <c r="AC407" s="181"/>
      <c r="AD407" s="181"/>
      <c r="AE407" s="181"/>
      <c r="AF407" s="181"/>
      <c r="AG407" s="181"/>
      <c r="AH407" s="181"/>
      <c r="AI407" s="181"/>
      <c r="AJ407" s="181"/>
      <c r="AK407" s="181"/>
      <c r="AL407" s="181"/>
      <c r="AM407" s="181"/>
      <c r="AN407" s="181"/>
      <c r="AO407" s="181"/>
      <c r="AP407" s="181"/>
      <c r="AQ407" s="181"/>
      <c r="AR407" s="181"/>
      <c r="AS407" s="181"/>
      <c r="AT407" s="181"/>
      <c r="AU407" s="181"/>
      <c r="AV407" s="181"/>
      <c r="AW407" s="181"/>
      <c r="AX407" s="181"/>
      <c r="AY407" s="181"/>
      <c r="AZ407" s="181"/>
      <c r="BA407" s="181"/>
      <c r="BB407" s="181"/>
      <c r="BC407" s="173"/>
      <c r="BD407" s="173"/>
      <c r="BE407" s="173"/>
      <c r="BF407" s="173"/>
      <c r="BG407" s="173"/>
      <c r="BH407" s="173"/>
      <c r="BI407" s="173"/>
      <c r="BJ407" s="173"/>
      <c r="BK407" s="173"/>
      <c r="BL407" s="173"/>
      <c r="BM407" s="173"/>
      <c r="BN407" s="181"/>
      <c r="BO407" s="181"/>
      <c r="BP407" s="181"/>
      <c r="BQ407" s="181"/>
      <c r="BR407" s="181"/>
      <c r="BS407" s="181"/>
      <c r="BT407" s="181"/>
      <c r="BU407" s="173"/>
      <c r="BV407" s="173"/>
      <c r="BW407" s="173"/>
      <c r="BX407" s="173"/>
      <c r="BY407" s="173"/>
      <c r="BZ407" s="173"/>
      <c r="CA407" s="173"/>
      <c r="CB407" s="173"/>
      <c r="CC407" s="173"/>
      <c r="CD407" s="173"/>
      <c r="CE407" s="173"/>
      <c r="CF407" s="173"/>
      <c r="CG407" s="173"/>
      <c r="CH407" s="173"/>
      <c r="CI407" s="173"/>
      <c r="CJ407" s="173"/>
      <c r="CK407" s="173"/>
      <c r="CL407" s="173"/>
    </row>
    <row r="408" spans="1:90">
      <c r="A408" s="181"/>
      <c r="B408" s="181"/>
      <c r="C408" s="181"/>
      <c r="D408" s="181"/>
      <c r="E408" s="181"/>
      <c r="F408" s="181"/>
      <c r="G408" s="181"/>
      <c r="H408" s="181"/>
      <c r="I408" s="181"/>
      <c r="J408" s="181"/>
      <c r="K408" s="254"/>
      <c r="L408" s="181"/>
      <c r="M408" s="181"/>
      <c r="N408" s="181"/>
      <c r="O408" s="181"/>
      <c r="P408" s="181"/>
      <c r="Q408" s="181"/>
      <c r="R408" s="181"/>
      <c r="S408" s="181"/>
      <c r="T408" s="181"/>
      <c r="U408" s="181"/>
      <c r="V408" s="181"/>
      <c r="W408" s="181"/>
      <c r="X408" s="181"/>
      <c r="Y408" s="181"/>
      <c r="Z408" s="181"/>
      <c r="AA408" s="181"/>
      <c r="AB408" s="181"/>
      <c r="AC408" s="181"/>
      <c r="AD408" s="181"/>
      <c r="AE408" s="181"/>
      <c r="AF408" s="181"/>
      <c r="AG408" s="181"/>
      <c r="AH408" s="181"/>
      <c r="AI408" s="181"/>
      <c r="AJ408" s="181"/>
      <c r="AK408" s="181"/>
      <c r="AL408" s="181"/>
      <c r="AM408" s="181"/>
      <c r="AN408" s="181"/>
      <c r="AO408" s="181"/>
      <c r="AP408" s="181"/>
      <c r="AQ408" s="181"/>
      <c r="AR408" s="181"/>
      <c r="AS408" s="181"/>
      <c r="AT408" s="181"/>
      <c r="AU408" s="181"/>
      <c r="AV408" s="181"/>
      <c r="AW408" s="181"/>
      <c r="AX408" s="181"/>
      <c r="AY408" s="181"/>
      <c r="AZ408" s="181"/>
      <c r="BA408" s="181"/>
      <c r="BB408" s="181"/>
      <c r="BC408" s="173"/>
      <c r="BD408" s="173"/>
      <c r="BE408" s="173"/>
      <c r="BF408" s="173"/>
      <c r="BG408" s="173"/>
      <c r="BH408" s="173"/>
      <c r="BI408" s="173"/>
      <c r="BJ408" s="173"/>
      <c r="BK408" s="173"/>
      <c r="BL408" s="173"/>
      <c r="BM408" s="173"/>
      <c r="BN408" s="181"/>
      <c r="BO408" s="181"/>
      <c r="BP408" s="181"/>
      <c r="BQ408" s="181"/>
      <c r="BR408" s="181"/>
      <c r="BS408" s="181"/>
      <c r="BT408" s="181"/>
      <c r="BU408" s="173"/>
      <c r="BV408" s="173"/>
      <c r="BW408" s="173"/>
      <c r="BX408" s="173"/>
      <c r="BY408" s="173"/>
      <c r="BZ408" s="173"/>
      <c r="CA408" s="173"/>
      <c r="CB408" s="173"/>
      <c r="CC408" s="173"/>
      <c r="CD408" s="173"/>
      <c r="CE408" s="173"/>
      <c r="CF408" s="173"/>
      <c r="CG408" s="173"/>
      <c r="CH408" s="173"/>
      <c r="CI408" s="173"/>
      <c r="CJ408" s="173"/>
      <c r="CK408" s="173"/>
      <c r="CL408" s="173"/>
    </row>
    <row r="409" spans="1:90">
      <c r="A409" s="181"/>
      <c r="B409" s="181"/>
      <c r="C409" s="181"/>
      <c r="D409" s="181"/>
      <c r="E409" s="181"/>
      <c r="F409" s="181"/>
      <c r="G409" s="181"/>
      <c r="H409" s="181"/>
      <c r="I409" s="181"/>
      <c r="J409" s="181"/>
      <c r="K409" s="254"/>
      <c r="L409" s="181"/>
      <c r="M409" s="181"/>
      <c r="N409" s="181"/>
      <c r="O409" s="181"/>
      <c r="P409" s="181"/>
      <c r="Q409" s="181"/>
      <c r="R409" s="181"/>
      <c r="S409" s="181"/>
      <c r="T409" s="181"/>
      <c r="U409" s="181"/>
      <c r="V409" s="181"/>
      <c r="W409" s="181"/>
      <c r="X409" s="181"/>
      <c r="Y409" s="181"/>
      <c r="Z409" s="181"/>
      <c r="AA409" s="181"/>
      <c r="AB409" s="181"/>
      <c r="AC409" s="181"/>
      <c r="AD409" s="181"/>
      <c r="AE409" s="181"/>
      <c r="AF409" s="181"/>
      <c r="AG409" s="181"/>
      <c r="AH409" s="181"/>
      <c r="AI409" s="181"/>
      <c r="AJ409" s="181"/>
      <c r="AK409" s="181"/>
      <c r="AL409" s="181"/>
      <c r="AM409" s="181"/>
      <c r="AN409" s="181"/>
      <c r="AO409" s="181"/>
      <c r="AP409" s="181"/>
      <c r="AQ409" s="181"/>
      <c r="AR409" s="181"/>
      <c r="AS409" s="181"/>
      <c r="AT409" s="181"/>
      <c r="AU409" s="181"/>
      <c r="AV409" s="181"/>
      <c r="AW409" s="181"/>
      <c r="AX409" s="181"/>
      <c r="AY409" s="181"/>
      <c r="AZ409" s="181"/>
      <c r="BA409" s="181"/>
      <c r="BB409" s="181"/>
      <c r="BC409" s="173"/>
      <c r="BD409" s="173"/>
      <c r="BE409" s="173"/>
      <c r="BF409" s="173"/>
      <c r="BG409" s="173"/>
      <c r="BH409" s="173"/>
      <c r="BI409" s="173"/>
      <c r="BJ409" s="173"/>
      <c r="BK409" s="173"/>
      <c r="BL409" s="173"/>
      <c r="BM409" s="173"/>
      <c r="BN409" s="181"/>
      <c r="BO409" s="181"/>
      <c r="BP409" s="181"/>
      <c r="BQ409" s="181"/>
      <c r="BR409" s="181"/>
      <c r="BS409" s="181"/>
      <c r="BT409" s="181"/>
      <c r="BU409" s="173"/>
      <c r="BV409" s="173"/>
      <c r="BW409" s="173"/>
      <c r="BX409" s="173"/>
      <c r="BY409" s="173"/>
      <c r="BZ409" s="173"/>
      <c r="CA409" s="173"/>
      <c r="CB409" s="173"/>
      <c r="CC409" s="173"/>
      <c r="CD409" s="173"/>
      <c r="CE409" s="173"/>
      <c r="CF409" s="173"/>
      <c r="CG409" s="173"/>
      <c r="CH409" s="173"/>
      <c r="CI409" s="173"/>
      <c r="CJ409" s="173"/>
      <c r="CK409" s="173"/>
      <c r="CL409" s="173"/>
    </row>
    <row r="410" spans="1:90">
      <c r="A410" s="181"/>
      <c r="B410" s="181"/>
      <c r="C410" s="181"/>
      <c r="D410" s="181"/>
      <c r="E410" s="181"/>
      <c r="F410" s="181"/>
      <c r="G410" s="181"/>
      <c r="H410" s="181"/>
      <c r="I410" s="181"/>
      <c r="J410" s="181"/>
      <c r="K410" s="254"/>
      <c r="L410" s="181"/>
      <c r="M410" s="181"/>
      <c r="N410" s="181"/>
      <c r="O410" s="181"/>
      <c r="P410" s="181"/>
      <c r="Q410" s="181"/>
      <c r="R410" s="181"/>
      <c r="S410" s="181"/>
      <c r="T410" s="181"/>
      <c r="U410" s="181"/>
      <c r="V410" s="181"/>
      <c r="W410" s="181"/>
      <c r="X410" s="181"/>
      <c r="Y410" s="181"/>
      <c r="Z410" s="181"/>
      <c r="AA410" s="181"/>
      <c r="AB410" s="181"/>
      <c r="AC410" s="181"/>
      <c r="AD410" s="181"/>
      <c r="AE410" s="181"/>
      <c r="AF410" s="181"/>
      <c r="AG410" s="181"/>
      <c r="AH410" s="181"/>
      <c r="AI410" s="181"/>
      <c r="AJ410" s="181"/>
      <c r="AK410" s="181"/>
      <c r="AL410" s="181"/>
      <c r="AM410" s="181"/>
      <c r="AN410" s="181"/>
      <c r="AO410" s="181"/>
      <c r="AP410" s="181"/>
      <c r="AQ410" s="181"/>
      <c r="AR410" s="181"/>
      <c r="AS410" s="181"/>
      <c r="AT410" s="181"/>
      <c r="AU410" s="181"/>
      <c r="AV410" s="181"/>
      <c r="AW410" s="181"/>
      <c r="AX410" s="181"/>
      <c r="AY410" s="181"/>
      <c r="AZ410" s="181"/>
      <c r="BA410" s="181"/>
      <c r="BB410" s="181"/>
      <c r="BC410" s="173"/>
      <c r="BD410" s="173"/>
      <c r="BE410" s="173"/>
      <c r="BF410" s="173"/>
      <c r="BG410" s="173"/>
      <c r="BH410" s="173"/>
      <c r="BI410" s="173"/>
      <c r="BJ410" s="173"/>
      <c r="BK410" s="173"/>
      <c r="BL410" s="173"/>
      <c r="BM410" s="173"/>
      <c r="BN410" s="181"/>
      <c r="BO410" s="181"/>
      <c r="BP410" s="181"/>
      <c r="BQ410" s="181"/>
      <c r="BR410" s="181"/>
      <c r="BS410" s="181"/>
      <c r="BT410" s="181"/>
      <c r="BU410" s="173"/>
      <c r="BV410" s="173"/>
      <c r="BW410" s="173"/>
      <c r="BX410" s="173"/>
      <c r="BY410" s="173"/>
      <c r="BZ410" s="173"/>
      <c r="CA410" s="173"/>
      <c r="CB410" s="173"/>
      <c r="CC410" s="173"/>
      <c r="CD410" s="173"/>
      <c r="CE410" s="173"/>
      <c r="CF410" s="173"/>
      <c r="CG410" s="173"/>
      <c r="CH410" s="173"/>
      <c r="CI410" s="173"/>
      <c r="CJ410" s="173"/>
      <c r="CK410" s="173"/>
      <c r="CL410" s="173"/>
    </row>
    <row r="411" spans="1:90">
      <c r="A411" s="181"/>
      <c r="B411" s="181"/>
      <c r="C411" s="181"/>
      <c r="D411" s="181"/>
      <c r="E411" s="181"/>
      <c r="F411" s="181"/>
      <c r="G411" s="181"/>
      <c r="H411" s="181"/>
      <c r="I411" s="181"/>
      <c r="J411" s="181"/>
      <c r="K411" s="254"/>
      <c r="L411" s="181"/>
      <c r="M411" s="181"/>
      <c r="N411" s="181"/>
      <c r="O411" s="181"/>
      <c r="P411" s="181"/>
      <c r="Q411" s="181"/>
      <c r="R411" s="181"/>
      <c r="S411" s="181"/>
      <c r="T411" s="181"/>
      <c r="U411" s="181"/>
      <c r="V411" s="181"/>
      <c r="W411" s="181"/>
      <c r="X411" s="181"/>
      <c r="Y411" s="181"/>
      <c r="Z411" s="181"/>
      <c r="AA411" s="181"/>
      <c r="AB411" s="181"/>
      <c r="AC411" s="181"/>
      <c r="AD411" s="181"/>
      <c r="AE411" s="181"/>
      <c r="AF411" s="181"/>
      <c r="AG411" s="181"/>
      <c r="AH411" s="181"/>
      <c r="AI411" s="181"/>
      <c r="AJ411" s="181"/>
      <c r="AK411" s="181"/>
      <c r="AL411" s="181"/>
      <c r="AM411" s="181"/>
      <c r="AN411" s="181"/>
      <c r="AO411" s="181"/>
      <c r="AP411" s="181"/>
      <c r="AQ411" s="181"/>
      <c r="AR411" s="181"/>
      <c r="AS411" s="181"/>
      <c r="AT411" s="181"/>
      <c r="AU411" s="181"/>
      <c r="AV411" s="181"/>
      <c r="AW411" s="181"/>
      <c r="AX411" s="181"/>
      <c r="AY411" s="181"/>
      <c r="AZ411" s="181"/>
      <c r="BA411" s="181"/>
      <c r="BB411" s="181"/>
      <c r="BC411" s="173"/>
      <c r="BD411" s="173"/>
      <c r="BE411" s="173"/>
      <c r="BF411" s="173"/>
      <c r="BG411" s="173"/>
      <c r="BH411" s="173"/>
      <c r="BI411" s="173"/>
      <c r="BJ411" s="173"/>
      <c r="BK411" s="173"/>
      <c r="BL411" s="173"/>
      <c r="BM411" s="173"/>
      <c r="BN411" s="181"/>
      <c r="BO411" s="181"/>
      <c r="BP411" s="181"/>
      <c r="BQ411" s="181"/>
      <c r="BR411" s="181"/>
      <c r="BS411" s="181"/>
      <c r="BT411" s="181"/>
      <c r="BU411" s="173"/>
      <c r="BV411" s="173"/>
      <c r="BW411" s="173"/>
      <c r="BX411" s="173"/>
      <c r="BY411" s="173"/>
      <c r="BZ411" s="173"/>
      <c r="CA411" s="173"/>
      <c r="CB411" s="173"/>
      <c r="CC411" s="173"/>
      <c r="CD411" s="173"/>
      <c r="CE411" s="173"/>
      <c r="CF411" s="173"/>
      <c r="CG411" s="173"/>
      <c r="CH411" s="173"/>
      <c r="CI411" s="173"/>
      <c r="CJ411" s="173"/>
      <c r="CK411" s="173"/>
      <c r="CL411" s="173"/>
    </row>
    <row r="412" spans="1:90">
      <c r="A412" s="181"/>
      <c r="B412" s="181"/>
      <c r="C412" s="181"/>
      <c r="D412" s="181"/>
      <c r="E412" s="181"/>
      <c r="F412" s="181"/>
      <c r="G412" s="181"/>
      <c r="H412" s="181"/>
      <c r="I412" s="181"/>
      <c r="J412" s="181"/>
      <c r="K412" s="254"/>
      <c r="L412" s="181"/>
      <c r="M412" s="181"/>
      <c r="N412" s="181"/>
      <c r="O412" s="181"/>
      <c r="P412" s="181"/>
      <c r="Q412" s="181"/>
      <c r="R412" s="181"/>
      <c r="S412" s="181"/>
      <c r="T412" s="181"/>
      <c r="U412" s="181"/>
      <c r="V412" s="181"/>
      <c r="W412" s="181"/>
      <c r="X412" s="181"/>
      <c r="Y412" s="181"/>
      <c r="Z412" s="181"/>
      <c r="AA412" s="181"/>
      <c r="AB412" s="181"/>
      <c r="AC412" s="181"/>
      <c r="AD412" s="181"/>
      <c r="AE412" s="181"/>
      <c r="AF412" s="181"/>
      <c r="AG412" s="181"/>
      <c r="AH412" s="181"/>
      <c r="AI412" s="181"/>
      <c r="AJ412" s="181"/>
      <c r="AK412" s="181"/>
      <c r="AL412" s="181"/>
      <c r="AM412" s="181"/>
      <c r="AN412" s="181"/>
      <c r="AO412" s="181"/>
      <c r="AP412" s="181"/>
      <c r="AQ412" s="181"/>
      <c r="AR412" s="181"/>
      <c r="AS412" s="181"/>
      <c r="AT412" s="181"/>
      <c r="AU412" s="181"/>
      <c r="AV412" s="181"/>
      <c r="AW412" s="181"/>
      <c r="AX412" s="181"/>
      <c r="AY412" s="181"/>
      <c r="AZ412" s="181"/>
      <c r="BA412" s="181"/>
      <c r="BB412" s="181"/>
      <c r="BC412" s="173"/>
      <c r="BD412" s="173"/>
      <c r="BE412" s="173"/>
      <c r="BF412" s="173"/>
      <c r="BG412" s="173"/>
      <c r="BH412" s="173"/>
      <c r="BI412" s="173"/>
      <c r="BJ412" s="173"/>
      <c r="BK412" s="173"/>
      <c r="BL412" s="173"/>
      <c r="BM412" s="173"/>
      <c r="BN412" s="181"/>
      <c r="BO412" s="181"/>
      <c r="BP412" s="181"/>
      <c r="BQ412" s="181"/>
      <c r="BR412" s="181"/>
      <c r="BS412" s="181"/>
      <c r="BT412" s="181"/>
      <c r="BU412" s="173"/>
      <c r="BV412" s="173"/>
      <c r="BW412" s="173"/>
      <c r="BX412" s="173"/>
      <c r="BY412" s="173"/>
      <c r="BZ412" s="173"/>
      <c r="CA412" s="173"/>
      <c r="CB412" s="173"/>
      <c r="CC412" s="173"/>
      <c r="CD412" s="173"/>
      <c r="CE412" s="173"/>
      <c r="CF412" s="173"/>
      <c r="CG412" s="173"/>
      <c r="CH412" s="173"/>
      <c r="CI412" s="173"/>
      <c r="CJ412" s="173"/>
      <c r="CK412" s="173"/>
      <c r="CL412" s="173"/>
    </row>
    <row r="413" spans="1:90">
      <c r="A413" s="181"/>
      <c r="B413" s="181"/>
      <c r="C413" s="181"/>
      <c r="D413" s="181"/>
      <c r="E413" s="181"/>
      <c r="F413" s="181"/>
      <c r="G413" s="181"/>
      <c r="H413" s="181"/>
      <c r="I413" s="181"/>
      <c r="J413" s="181"/>
      <c r="K413" s="254"/>
      <c r="L413" s="181"/>
      <c r="M413" s="181"/>
      <c r="N413" s="181"/>
      <c r="O413" s="181"/>
      <c r="P413" s="181"/>
      <c r="Q413" s="181"/>
      <c r="R413" s="181"/>
      <c r="S413" s="181"/>
      <c r="T413" s="181"/>
      <c r="U413" s="181"/>
      <c r="V413" s="181"/>
      <c r="W413" s="181"/>
      <c r="X413" s="181"/>
      <c r="Y413" s="181"/>
      <c r="Z413" s="181"/>
      <c r="AA413" s="181"/>
      <c r="AB413" s="181"/>
      <c r="AC413" s="181"/>
      <c r="AD413" s="181"/>
      <c r="AE413" s="181"/>
      <c r="AF413" s="181"/>
      <c r="AG413" s="181"/>
      <c r="AH413" s="181"/>
      <c r="AI413" s="181"/>
      <c r="AJ413" s="181"/>
      <c r="AK413" s="181"/>
      <c r="AL413" s="181"/>
      <c r="AM413" s="181"/>
      <c r="AN413" s="181"/>
      <c r="AO413" s="181"/>
      <c r="AP413" s="181"/>
      <c r="AQ413" s="181"/>
      <c r="AR413" s="181"/>
      <c r="AS413" s="181"/>
      <c r="AT413" s="181"/>
      <c r="AU413" s="181"/>
      <c r="AV413" s="181"/>
      <c r="AW413" s="181"/>
      <c r="AX413" s="181"/>
      <c r="AY413" s="181"/>
      <c r="AZ413" s="181"/>
      <c r="BA413" s="181"/>
      <c r="BB413" s="181"/>
      <c r="BC413" s="173"/>
      <c r="BD413" s="173"/>
      <c r="BE413" s="173"/>
      <c r="BF413" s="173"/>
      <c r="BG413" s="173"/>
      <c r="BH413" s="173"/>
      <c r="BI413" s="173"/>
      <c r="BJ413" s="173"/>
      <c r="BK413" s="173"/>
      <c r="BL413" s="173"/>
      <c r="BM413" s="173"/>
      <c r="BN413" s="181"/>
      <c r="BO413" s="181"/>
      <c r="BP413" s="181"/>
      <c r="BQ413" s="181"/>
      <c r="BR413" s="181"/>
      <c r="BS413" s="181"/>
      <c r="BT413" s="181"/>
      <c r="BU413" s="173"/>
      <c r="BV413" s="173"/>
      <c r="BW413" s="173"/>
      <c r="BX413" s="173"/>
      <c r="BY413" s="173"/>
      <c r="BZ413" s="173"/>
      <c r="CA413" s="173"/>
      <c r="CB413" s="173"/>
      <c r="CC413" s="173"/>
      <c r="CD413" s="173"/>
      <c r="CE413" s="173"/>
      <c r="CF413" s="173"/>
      <c r="CG413" s="173"/>
      <c r="CH413" s="173"/>
      <c r="CI413" s="173"/>
      <c r="CJ413" s="173"/>
      <c r="CK413" s="173"/>
      <c r="CL413" s="173"/>
    </row>
    <row r="414" spans="1:90">
      <c r="A414" s="181"/>
      <c r="B414" s="181"/>
      <c r="C414" s="181"/>
      <c r="D414" s="181"/>
      <c r="E414" s="181"/>
      <c r="F414" s="181"/>
      <c r="G414" s="181"/>
      <c r="H414" s="181"/>
      <c r="I414" s="181"/>
      <c r="J414" s="181"/>
      <c r="K414" s="254"/>
      <c r="L414" s="181"/>
      <c r="M414" s="181"/>
      <c r="N414" s="181"/>
      <c r="O414" s="181"/>
      <c r="P414" s="181"/>
      <c r="Q414" s="181"/>
      <c r="R414" s="181"/>
      <c r="S414" s="181"/>
      <c r="T414" s="181"/>
      <c r="U414" s="181"/>
      <c r="V414" s="181"/>
      <c r="W414" s="181"/>
      <c r="X414" s="181"/>
      <c r="Y414" s="181"/>
      <c r="Z414" s="181"/>
      <c r="AA414" s="181"/>
      <c r="AB414" s="181"/>
      <c r="AC414" s="181"/>
      <c r="AD414" s="181"/>
      <c r="AE414" s="181"/>
      <c r="AF414" s="181"/>
      <c r="AG414" s="181"/>
      <c r="AH414" s="181"/>
      <c r="AI414" s="181"/>
      <c r="AJ414" s="181"/>
      <c r="AK414" s="181"/>
      <c r="AL414" s="181"/>
      <c r="AM414" s="181"/>
      <c r="AN414" s="181"/>
      <c r="AO414" s="181"/>
      <c r="AP414" s="181"/>
      <c r="AQ414" s="181"/>
      <c r="AR414" s="181"/>
      <c r="AS414" s="181"/>
      <c r="AT414" s="181"/>
      <c r="AU414" s="181"/>
      <c r="AV414" s="181"/>
      <c r="AW414" s="181"/>
      <c r="AX414" s="181"/>
      <c r="AY414" s="181"/>
      <c r="AZ414" s="181"/>
      <c r="BA414" s="181"/>
      <c r="BB414" s="181"/>
      <c r="BC414" s="173"/>
      <c r="BD414" s="173"/>
      <c r="BE414" s="173"/>
      <c r="BF414" s="173"/>
      <c r="BG414" s="173"/>
      <c r="BH414" s="173"/>
      <c r="BI414" s="173"/>
      <c r="BJ414" s="173"/>
      <c r="BK414" s="173"/>
      <c r="BL414" s="173"/>
      <c r="BM414" s="173"/>
      <c r="BN414" s="181"/>
      <c r="BO414" s="181"/>
      <c r="BP414" s="181"/>
      <c r="BQ414" s="181"/>
      <c r="BR414" s="181"/>
      <c r="BS414" s="181"/>
      <c r="BT414" s="181"/>
      <c r="BU414" s="173"/>
      <c r="BV414" s="173"/>
      <c r="BW414" s="173"/>
      <c r="BX414" s="173"/>
      <c r="BY414" s="173"/>
      <c r="BZ414" s="173"/>
      <c r="CA414" s="173"/>
      <c r="CB414" s="173"/>
      <c r="CC414" s="173"/>
      <c r="CD414" s="173"/>
      <c r="CE414" s="173"/>
      <c r="CF414" s="173"/>
      <c r="CG414" s="173"/>
      <c r="CH414" s="173"/>
      <c r="CI414" s="173"/>
      <c r="CJ414" s="173"/>
      <c r="CK414" s="173"/>
      <c r="CL414" s="173"/>
    </row>
    <row r="415" spans="1:90">
      <c r="A415" s="181"/>
      <c r="B415" s="181"/>
      <c r="C415" s="181"/>
      <c r="D415" s="181"/>
      <c r="E415" s="181"/>
      <c r="F415" s="181"/>
      <c r="G415" s="181"/>
      <c r="H415" s="181"/>
      <c r="I415" s="181"/>
      <c r="J415" s="181"/>
      <c r="K415" s="254"/>
      <c r="L415" s="181"/>
      <c r="M415" s="181"/>
      <c r="N415" s="181"/>
      <c r="O415" s="181"/>
      <c r="P415" s="181"/>
      <c r="Q415" s="181"/>
      <c r="R415" s="181"/>
      <c r="S415" s="181"/>
      <c r="T415" s="181"/>
      <c r="U415" s="181"/>
      <c r="V415" s="181"/>
      <c r="W415" s="181"/>
      <c r="X415" s="181"/>
      <c r="Y415" s="181"/>
      <c r="Z415" s="181"/>
      <c r="AA415" s="181"/>
      <c r="AB415" s="181"/>
      <c r="AC415" s="181"/>
      <c r="AD415" s="181"/>
      <c r="AE415" s="181"/>
      <c r="AF415" s="181"/>
      <c r="AG415" s="181"/>
      <c r="AH415" s="181"/>
      <c r="AI415" s="181"/>
      <c r="AJ415" s="181"/>
      <c r="AK415" s="181"/>
      <c r="AL415" s="181"/>
      <c r="AM415" s="181"/>
      <c r="AN415" s="181"/>
      <c r="AO415" s="181"/>
      <c r="AP415" s="181"/>
      <c r="AQ415" s="181"/>
      <c r="AR415" s="181"/>
      <c r="AS415" s="181"/>
      <c r="AT415" s="181"/>
      <c r="AU415" s="181"/>
      <c r="AV415" s="181"/>
      <c r="AW415" s="181"/>
      <c r="AX415" s="181"/>
      <c r="AY415" s="181"/>
      <c r="AZ415" s="181"/>
      <c r="BA415" s="181"/>
      <c r="BB415" s="181"/>
      <c r="BC415" s="173"/>
      <c r="BD415" s="173"/>
      <c r="BE415" s="173"/>
      <c r="BF415" s="173"/>
      <c r="BG415" s="173"/>
      <c r="BH415" s="173"/>
      <c r="BI415" s="173"/>
      <c r="BJ415" s="173"/>
      <c r="BK415" s="173"/>
      <c r="BL415" s="173"/>
      <c r="BM415" s="173"/>
      <c r="BN415" s="181"/>
      <c r="BO415" s="181"/>
      <c r="BP415" s="181"/>
      <c r="BQ415" s="181"/>
      <c r="BR415" s="181"/>
      <c r="BS415" s="181"/>
      <c r="BT415" s="181"/>
      <c r="BU415" s="173"/>
      <c r="BV415" s="173"/>
      <c r="BW415" s="173"/>
      <c r="BX415" s="173"/>
      <c r="BY415" s="173"/>
      <c r="BZ415" s="173"/>
      <c r="CA415" s="173"/>
      <c r="CB415" s="173"/>
      <c r="CC415" s="173"/>
      <c r="CD415" s="173"/>
      <c r="CE415" s="173"/>
      <c r="CF415" s="173"/>
      <c r="CG415" s="173"/>
      <c r="CH415" s="173"/>
      <c r="CI415" s="173"/>
      <c r="CJ415" s="173"/>
      <c r="CK415" s="173"/>
      <c r="CL415" s="173"/>
    </row>
    <row r="416" spans="1:90">
      <c r="A416" s="181"/>
      <c r="B416" s="181"/>
      <c r="C416" s="181"/>
      <c r="D416" s="181"/>
      <c r="E416" s="181"/>
      <c r="F416" s="181"/>
      <c r="G416" s="181"/>
      <c r="H416" s="181"/>
      <c r="I416" s="181"/>
      <c r="J416" s="181"/>
      <c r="K416" s="254"/>
      <c r="L416" s="181"/>
      <c r="M416" s="181"/>
      <c r="N416" s="181"/>
      <c r="O416" s="181"/>
      <c r="P416" s="181"/>
      <c r="Q416" s="181"/>
      <c r="R416" s="181"/>
      <c r="S416" s="181"/>
      <c r="T416" s="181"/>
      <c r="U416" s="181"/>
      <c r="V416" s="181"/>
      <c r="W416" s="181"/>
      <c r="X416" s="181"/>
      <c r="Y416" s="181"/>
      <c r="Z416" s="181"/>
      <c r="AA416" s="181"/>
      <c r="AB416" s="181"/>
      <c r="AC416" s="181"/>
      <c r="AD416" s="181"/>
      <c r="AE416" s="181"/>
      <c r="AF416" s="181"/>
      <c r="AG416" s="181"/>
      <c r="AH416" s="181"/>
      <c r="AI416" s="181"/>
      <c r="AJ416" s="181"/>
      <c r="AK416" s="181"/>
      <c r="AL416" s="181"/>
      <c r="AM416" s="181"/>
      <c r="AN416" s="181"/>
      <c r="AO416" s="181"/>
      <c r="AP416" s="181"/>
      <c r="AQ416" s="181"/>
      <c r="AR416" s="181"/>
      <c r="AS416" s="181"/>
      <c r="AT416" s="181"/>
      <c r="AU416" s="181"/>
      <c r="AV416" s="181"/>
      <c r="AW416" s="181"/>
      <c r="AX416" s="181"/>
      <c r="AY416" s="181"/>
      <c r="AZ416" s="181"/>
      <c r="BA416" s="181"/>
      <c r="BB416" s="181"/>
      <c r="BC416" s="173"/>
      <c r="BD416" s="173"/>
      <c r="BE416" s="173"/>
      <c r="BF416" s="173"/>
      <c r="BG416" s="173"/>
      <c r="BH416" s="173"/>
      <c r="BI416" s="173"/>
      <c r="BJ416" s="173"/>
      <c r="BK416" s="173"/>
      <c r="BL416" s="173"/>
      <c r="BM416" s="173"/>
      <c r="BN416" s="181"/>
      <c r="BO416" s="181"/>
      <c r="BP416" s="181"/>
      <c r="BQ416" s="181"/>
      <c r="BR416" s="181"/>
      <c r="BS416" s="181"/>
      <c r="BT416" s="181"/>
      <c r="BU416" s="173"/>
      <c r="BV416" s="173"/>
      <c r="BW416" s="173"/>
      <c r="BX416" s="173"/>
      <c r="BY416" s="173"/>
      <c r="BZ416" s="173"/>
      <c r="CA416" s="173"/>
      <c r="CB416" s="173"/>
      <c r="CC416" s="173"/>
      <c r="CD416" s="173"/>
      <c r="CE416" s="173"/>
      <c r="CF416" s="173"/>
      <c r="CG416" s="173"/>
      <c r="CH416" s="173"/>
      <c r="CI416" s="173"/>
      <c r="CJ416" s="173"/>
      <c r="CK416" s="173"/>
      <c r="CL416" s="173"/>
    </row>
    <row r="417" spans="1:90">
      <c r="A417" s="181"/>
      <c r="B417" s="181"/>
      <c r="C417" s="181"/>
      <c r="D417" s="181"/>
      <c r="E417" s="181"/>
      <c r="F417" s="181"/>
      <c r="G417" s="181"/>
      <c r="H417" s="181"/>
      <c r="I417" s="181"/>
      <c r="J417" s="181"/>
      <c r="K417" s="254"/>
      <c r="L417" s="181"/>
      <c r="M417" s="181"/>
      <c r="N417" s="181"/>
      <c r="O417" s="181"/>
      <c r="P417" s="181"/>
      <c r="Q417" s="181"/>
      <c r="R417" s="181"/>
      <c r="S417" s="181"/>
      <c r="T417" s="181"/>
      <c r="U417" s="181"/>
      <c r="V417" s="181"/>
      <c r="W417" s="181"/>
      <c r="X417" s="181"/>
      <c r="Y417" s="181"/>
      <c r="Z417" s="181"/>
      <c r="AA417" s="181"/>
      <c r="AB417" s="181"/>
      <c r="AC417" s="181"/>
      <c r="AD417" s="181"/>
      <c r="AE417" s="181"/>
      <c r="AF417" s="181"/>
      <c r="AG417" s="181"/>
      <c r="AH417" s="181"/>
      <c r="AI417" s="181"/>
      <c r="AJ417" s="181"/>
      <c r="AK417" s="181"/>
      <c r="AL417" s="181"/>
      <c r="AM417" s="181"/>
      <c r="AN417" s="181"/>
      <c r="AO417" s="181"/>
      <c r="AP417" s="181"/>
      <c r="AQ417" s="181"/>
      <c r="AR417" s="181"/>
      <c r="AS417" s="181"/>
      <c r="AT417" s="181"/>
      <c r="AU417" s="181"/>
      <c r="AV417" s="181"/>
      <c r="AW417" s="181"/>
      <c r="AX417" s="181"/>
      <c r="AY417" s="181"/>
      <c r="AZ417" s="181"/>
      <c r="BA417" s="181"/>
      <c r="BB417" s="181"/>
      <c r="BC417" s="173"/>
      <c r="BD417" s="173"/>
      <c r="BE417" s="173"/>
      <c r="BF417" s="173"/>
      <c r="BG417" s="173"/>
      <c r="BH417" s="173"/>
      <c r="BI417" s="173"/>
      <c r="BJ417" s="173"/>
      <c r="BK417" s="173"/>
      <c r="BL417" s="173"/>
      <c r="BM417" s="173"/>
      <c r="BN417" s="181"/>
      <c r="BO417" s="181"/>
      <c r="BP417" s="181"/>
      <c r="BQ417" s="181"/>
      <c r="BR417" s="181"/>
      <c r="BS417" s="181"/>
      <c r="BT417" s="181"/>
      <c r="BU417" s="173"/>
      <c r="BV417" s="173"/>
      <c r="BW417" s="173"/>
      <c r="BX417" s="173"/>
      <c r="BY417" s="173"/>
      <c r="BZ417" s="173"/>
      <c r="CA417" s="173"/>
      <c r="CB417" s="173"/>
      <c r="CC417" s="173"/>
      <c r="CD417" s="173"/>
      <c r="CE417" s="173"/>
      <c r="CF417" s="173"/>
      <c r="CG417" s="173"/>
      <c r="CH417" s="173"/>
      <c r="CI417" s="173"/>
      <c r="CJ417" s="173"/>
      <c r="CK417" s="173"/>
      <c r="CL417" s="173"/>
    </row>
    <row r="418" spans="1:90">
      <c r="A418" s="181"/>
      <c r="B418" s="181"/>
      <c r="C418" s="181"/>
      <c r="D418" s="181"/>
      <c r="E418" s="181"/>
      <c r="F418" s="181"/>
      <c r="G418" s="181"/>
      <c r="H418" s="181"/>
      <c r="I418" s="181"/>
      <c r="J418" s="181"/>
      <c r="K418" s="254"/>
      <c r="L418" s="181"/>
      <c r="M418" s="181"/>
      <c r="N418" s="181"/>
      <c r="O418" s="181"/>
      <c r="P418" s="181"/>
      <c r="Q418" s="181"/>
      <c r="R418" s="181"/>
      <c r="S418" s="181"/>
      <c r="T418" s="181"/>
      <c r="U418" s="181"/>
      <c r="V418" s="181"/>
      <c r="W418" s="181"/>
      <c r="X418" s="181"/>
      <c r="Y418" s="181"/>
      <c r="Z418" s="181"/>
      <c r="AA418" s="181"/>
      <c r="AB418" s="181"/>
      <c r="AC418" s="181"/>
      <c r="AD418" s="181"/>
      <c r="AE418" s="181"/>
      <c r="AF418" s="181"/>
      <c r="AG418" s="181"/>
      <c r="AH418" s="181"/>
      <c r="AI418" s="181"/>
      <c r="AJ418" s="181"/>
      <c r="AK418" s="181"/>
      <c r="AL418" s="181"/>
      <c r="AM418" s="181"/>
      <c r="AN418" s="181"/>
      <c r="AO418" s="181"/>
      <c r="AP418" s="181"/>
      <c r="AQ418" s="181"/>
      <c r="AR418" s="181"/>
      <c r="AS418" s="181"/>
      <c r="AT418" s="181"/>
      <c r="AU418" s="181"/>
      <c r="AV418" s="181"/>
      <c r="AW418" s="181"/>
      <c r="AX418" s="181"/>
      <c r="AY418" s="181"/>
      <c r="AZ418" s="181"/>
      <c r="BA418" s="181"/>
      <c r="BB418" s="181"/>
      <c r="BC418" s="173"/>
      <c r="BD418" s="173"/>
      <c r="BE418" s="173"/>
      <c r="BF418" s="173"/>
      <c r="BG418" s="173"/>
      <c r="BH418" s="173"/>
      <c r="BI418" s="173"/>
      <c r="BJ418" s="173"/>
      <c r="BK418" s="173"/>
      <c r="BL418" s="173"/>
      <c r="BM418" s="173"/>
      <c r="BN418" s="181"/>
      <c r="BO418" s="181"/>
      <c r="BP418" s="181"/>
      <c r="BQ418" s="181"/>
      <c r="BR418" s="181"/>
      <c r="BS418" s="181"/>
      <c r="BT418" s="181"/>
      <c r="BU418" s="173"/>
      <c r="BV418" s="173"/>
      <c r="BW418" s="173"/>
      <c r="BX418" s="173"/>
      <c r="BY418" s="173"/>
      <c r="BZ418" s="173"/>
      <c r="CA418" s="173"/>
      <c r="CB418" s="173"/>
      <c r="CC418" s="173"/>
      <c r="CD418" s="173"/>
      <c r="CE418" s="173"/>
      <c r="CF418" s="173"/>
      <c r="CG418" s="173"/>
      <c r="CH418" s="173"/>
      <c r="CI418" s="173"/>
      <c r="CJ418" s="173"/>
      <c r="CK418" s="173"/>
      <c r="CL418" s="173"/>
    </row>
    <row r="419" spans="1:90">
      <c r="A419" s="181"/>
      <c r="B419" s="181"/>
      <c r="C419" s="181"/>
      <c r="D419" s="181"/>
      <c r="E419" s="181"/>
      <c r="F419" s="181"/>
      <c r="G419" s="181"/>
      <c r="H419" s="181"/>
      <c r="I419" s="181"/>
      <c r="J419" s="181"/>
      <c r="K419" s="254"/>
      <c r="L419" s="181"/>
      <c r="M419" s="181"/>
      <c r="N419" s="181"/>
      <c r="O419" s="181"/>
      <c r="P419" s="181"/>
      <c r="Q419" s="181"/>
      <c r="R419" s="181"/>
      <c r="S419" s="181"/>
      <c r="T419" s="181"/>
      <c r="U419" s="181"/>
      <c r="V419" s="181"/>
      <c r="W419" s="181"/>
      <c r="X419" s="181"/>
      <c r="Y419" s="181"/>
      <c r="Z419" s="181"/>
      <c r="AA419" s="181"/>
      <c r="AB419" s="181"/>
      <c r="AC419" s="181"/>
      <c r="AD419" s="181"/>
      <c r="AE419" s="181"/>
      <c r="AF419" s="181"/>
      <c r="AG419" s="181"/>
      <c r="AH419" s="181"/>
      <c r="AI419" s="181"/>
      <c r="AJ419" s="181"/>
      <c r="AK419" s="181"/>
      <c r="AL419" s="181"/>
      <c r="AM419" s="181"/>
      <c r="AN419" s="181"/>
      <c r="AO419" s="181"/>
      <c r="AP419" s="181"/>
      <c r="AQ419" s="181"/>
      <c r="AR419" s="181"/>
      <c r="AS419" s="181"/>
      <c r="AT419" s="181"/>
      <c r="AU419" s="181"/>
      <c r="AV419" s="181"/>
      <c r="AW419" s="181"/>
      <c r="AX419" s="181"/>
      <c r="AY419" s="181"/>
      <c r="AZ419" s="181"/>
      <c r="BA419" s="181"/>
      <c r="BB419" s="181"/>
      <c r="BC419" s="173"/>
      <c r="BD419" s="173"/>
      <c r="BE419" s="173"/>
      <c r="BF419" s="173"/>
      <c r="BG419" s="173"/>
      <c r="BH419" s="173"/>
      <c r="BI419" s="173"/>
      <c r="BJ419" s="173"/>
      <c r="BK419" s="173"/>
      <c r="BL419" s="173"/>
      <c r="BM419" s="173"/>
      <c r="BN419" s="181"/>
      <c r="BO419" s="181"/>
      <c r="BP419" s="181"/>
      <c r="BQ419" s="181"/>
      <c r="BR419" s="181"/>
      <c r="BS419" s="181"/>
      <c r="BT419" s="181"/>
      <c r="BU419" s="173"/>
      <c r="BV419" s="173"/>
      <c r="BW419" s="173"/>
      <c r="BX419" s="173"/>
      <c r="BY419" s="173"/>
      <c r="BZ419" s="173"/>
      <c r="CA419" s="173"/>
      <c r="CB419" s="173"/>
      <c r="CC419" s="173"/>
      <c r="CD419" s="173"/>
      <c r="CE419" s="173"/>
      <c r="CF419" s="173"/>
      <c r="CG419" s="173"/>
      <c r="CH419" s="173"/>
      <c r="CI419" s="173"/>
      <c r="CJ419" s="173"/>
      <c r="CK419" s="173"/>
      <c r="CL419" s="173"/>
    </row>
    <row r="420" spans="1:90">
      <c r="A420" s="181"/>
      <c r="B420" s="181"/>
      <c r="C420" s="181"/>
      <c r="D420" s="181"/>
      <c r="E420" s="181"/>
      <c r="F420" s="181"/>
      <c r="G420" s="181"/>
      <c r="H420" s="181"/>
      <c r="I420" s="181"/>
      <c r="J420" s="181"/>
      <c r="K420" s="254"/>
      <c r="L420" s="181"/>
      <c r="M420" s="181"/>
      <c r="N420" s="181"/>
      <c r="O420" s="181"/>
      <c r="P420" s="181"/>
      <c r="Q420" s="181"/>
      <c r="R420" s="181"/>
      <c r="S420" s="181"/>
      <c r="T420" s="181"/>
      <c r="U420" s="181"/>
      <c r="V420" s="181"/>
      <c r="W420" s="181"/>
      <c r="X420" s="181"/>
      <c r="Y420" s="181"/>
      <c r="Z420" s="181"/>
      <c r="AA420" s="181"/>
      <c r="AB420" s="181"/>
      <c r="AC420" s="181"/>
      <c r="AD420" s="181"/>
      <c r="AE420" s="181"/>
      <c r="AF420" s="181"/>
      <c r="AG420" s="181"/>
      <c r="AH420" s="181"/>
      <c r="AI420" s="181"/>
      <c r="AJ420" s="181"/>
      <c r="AK420" s="181"/>
      <c r="AL420" s="181"/>
      <c r="AM420" s="181"/>
      <c r="AN420" s="181"/>
      <c r="AO420" s="181"/>
      <c r="AP420" s="181"/>
      <c r="AQ420" s="181"/>
      <c r="AR420" s="181"/>
      <c r="AS420" s="181"/>
      <c r="AT420" s="181"/>
      <c r="AU420" s="181"/>
      <c r="AV420" s="181"/>
      <c r="AW420" s="181"/>
      <c r="AX420" s="181"/>
      <c r="AY420" s="181"/>
      <c r="AZ420" s="181"/>
      <c r="BA420" s="181"/>
      <c r="BB420" s="181"/>
      <c r="BC420" s="173"/>
      <c r="BD420" s="173"/>
      <c r="BE420" s="173"/>
      <c r="BF420" s="173"/>
      <c r="BG420" s="173"/>
      <c r="BH420" s="173"/>
      <c r="BI420" s="173"/>
      <c r="BJ420" s="173"/>
      <c r="BK420" s="173"/>
      <c r="BL420" s="173"/>
      <c r="BM420" s="173"/>
      <c r="BN420" s="181"/>
      <c r="BO420" s="181"/>
      <c r="BP420" s="181"/>
      <c r="BQ420" s="181"/>
      <c r="BR420" s="181"/>
      <c r="BS420" s="181"/>
      <c r="BT420" s="181"/>
      <c r="BU420" s="173"/>
      <c r="BV420" s="173"/>
      <c r="BW420" s="173"/>
      <c r="BX420" s="173"/>
      <c r="BY420" s="173"/>
      <c r="BZ420" s="173"/>
      <c r="CA420" s="173"/>
      <c r="CB420" s="173"/>
      <c r="CC420" s="173"/>
      <c r="CD420" s="173"/>
      <c r="CE420" s="173"/>
      <c r="CF420" s="173"/>
      <c r="CG420" s="173"/>
      <c r="CH420" s="173"/>
      <c r="CI420" s="173"/>
      <c r="CJ420" s="173"/>
      <c r="CK420" s="173"/>
      <c r="CL420" s="173"/>
    </row>
    <row r="421" spans="1:90">
      <c r="A421" s="181"/>
      <c r="B421" s="181"/>
      <c r="C421" s="181"/>
      <c r="D421" s="181"/>
      <c r="E421" s="181"/>
      <c r="F421" s="181"/>
      <c r="G421" s="181"/>
      <c r="H421" s="181"/>
      <c r="I421" s="181"/>
      <c r="J421" s="181"/>
      <c r="K421" s="254"/>
      <c r="L421" s="181"/>
      <c r="M421" s="181"/>
      <c r="N421" s="181"/>
      <c r="O421" s="181"/>
      <c r="P421" s="181"/>
      <c r="Q421" s="181"/>
      <c r="R421" s="181"/>
      <c r="S421" s="181"/>
      <c r="T421" s="181"/>
      <c r="U421" s="181"/>
      <c r="V421" s="181"/>
      <c r="W421" s="181"/>
      <c r="X421" s="181"/>
      <c r="Y421" s="181"/>
      <c r="Z421" s="181"/>
      <c r="AA421" s="181"/>
      <c r="AB421" s="181"/>
      <c r="AC421" s="181"/>
      <c r="AD421" s="181"/>
      <c r="AE421" s="181"/>
      <c r="AF421" s="181"/>
      <c r="AG421" s="181"/>
      <c r="AH421" s="181"/>
      <c r="AI421" s="181"/>
      <c r="AJ421" s="181"/>
      <c r="AK421" s="181"/>
      <c r="AL421" s="181"/>
      <c r="AM421" s="181"/>
      <c r="AN421" s="181"/>
      <c r="AO421" s="181"/>
      <c r="AP421" s="181"/>
      <c r="AQ421" s="181"/>
      <c r="AR421" s="181"/>
      <c r="AS421" s="181"/>
      <c r="AT421" s="181"/>
      <c r="AU421" s="181"/>
      <c r="AV421" s="181"/>
      <c r="AW421" s="181"/>
      <c r="AX421" s="181"/>
      <c r="AY421" s="181"/>
      <c r="AZ421" s="181"/>
      <c r="BA421" s="181"/>
      <c r="BB421" s="181"/>
      <c r="BC421" s="173"/>
      <c r="BD421" s="173"/>
      <c r="BE421" s="173"/>
      <c r="BF421" s="173"/>
      <c r="BG421" s="173"/>
      <c r="BH421" s="173"/>
      <c r="BI421" s="173"/>
      <c r="BJ421" s="173"/>
      <c r="BK421" s="173"/>
      <c r="BL421" s="173"/>
      <c r="BM421" s="173"/>
      <c r="BN421" s="181"/>
      <c r="BO421" s="181"/>
      <c r="BP421" s="181"/>
      <c r="BQ421" s="181"/>
      <c r="BR421" s="181"/>
      <c r="BS421" s="181"/>
      <c r="BT421" s="181"/>
      <c r="BU421" s="173"/>
      <c r="BV421" s="173"/>
      <c r="BW421" s="173"/>
      <c r="BX421" s="173"/>
      <c r="BY421" s="173"/>
      <c r="BZ421" s="173"/>
      <c r="CA421" s="173"/>
      <c r="CB421" s="173"/>
      <c r="CC421" s="173"/>
      <c r="CD421" s="173"/>
      <c r="CE421" s="173"/>
      <c r="CF421" s="173"/>
      <c r="CG421" s="173"/>
      <c r="CH421" s="173"/>
      <c r="CI421" s="173"/>
      <c r="CJ421" s="173"/>
      <c r="CK421" s="173"/>
      <c r="CL421" s="173"/>
    </row>
    <row r="422" spans="1:90">
      <c r="A422" s="181"/>
      <c r="B422" s="181"/>
      <c r="C422" s="181"/>
      <c r="D422" s="181"/>
      <c r="E422" s="181"/>
      <c r="F422" s="181"/>
      <c r="G422" s="181"/>
      <c r="H422" s="181"/>
      <c r="I422" s="181"/>
      <c r="J422" s="181"/>
      <c r="K422" s="254"/>
      <c r="L422" s="181"/>
      <c r="M422" s="181"/>
      <c r="N422" s="181"/>
      <c r="O422" s="181"/>
      <c r="P422" s="181"/>
      <c r="Q422" s="181"/>
      <c r="R422" s="181"/>
      <c r="S422" s="181"/>
      <c r="T422" s="181"/>
      <c r="U422" s="181"/>
      <c r="V422" s="181"/>
      <c r="W422" s="181"/>
      <c r="X422" s="181"/>
      <c r="Y422" s="181"/>
      <c r="Z422" s="181"/>
      <c r="AA422" s="181"/>
      <c r="AB422" s="181"/>
      <c r="AC422" s="181"/>
      <c r="AD422" s="181"/>
      <c r="AE422" s="181"/>
      <c r="AF422" s="181"/>
      <c r="AG422" s="181"/>
      <c r="AH422" s="181"/>
      <c r="AI422" s="181"/>
      <c r="AJ422" s="181"/>
      <c r="AK422" s="181"/>
      <c r="AL422" s="181"/>
      <c r="AM422" s="181"/>
      <c r="AN422" s="181"/>
      <c r="AO422" s="181"/>
      <c r="AP422" s="181"/>
      <c r="AQ422" s="181"/>
      <c r="AR422" s="181"/>
      <c r="AS422" s="181"/>
      <c r="AT422" s="181"/>
      <c r="AU422" s="181"/>
      <c r="AV422" s="181"/>
      <c r="AW422" s="181"/>
      <c r="AX422" s="181"/>
      <c r="AY422" s="181"/>
      <c r="AZ422" s="181"/>
      <c r="BA422" s="181"/>
      <c r="BB422" s="181"/>
      <c r="BC422" s="173"/>
      <c r="BD422" s="173"/>
      <c r="BE422" s="173"/>
      <c r="BF422" s="173"/>
      <c r="BG422" s="173"/>
      <c r="BH422" s="173"/>
      <c r="BI422" s="173"/>
      <c r="BJ422" s="173"/>
      <c r="BK422" s="173"/>
      <c r="BL422" s="173"/>
      <c r="BM422" s="173"/>
      <c r="BN422" s="181"/>
      <c r="BO422" s="181"/>
      <c r="BP422" s="181"/>
      <c r="BQ422" s="181"/>
      <c r="BR422" s="181"/>
      <c r="BS422" s="181"/>
      <c r="BT422" s="181"/>
      <c r="BU422" s="173"/>
      <c r="BV422" s="173"/>
      <c r="BW422" s="173"/>
      <c r="BX422" s="173"/>
      <c r="BY422" s="173"/>
      <c r="BZ422" s="173"/>
      <c r="CA422" s="173"/>
      <c r="CB422" s="173"/>
      <c r="CC422" s="173"/>
      <c r="CD422" s="173"/>
      <c r="CE422" s="173"/>
      <c r="CF422" s="173"/>
      <c r="CG422" s="173"/>
      <c r="CH422" s="173"/>
      <c r="CI422" s="173"/>
      <c r="CJ422" s="173"/>
      <c r="CK422" s="173"/>
      <c r="CL422" s="173"/>
    </row>
    <row r="423" spans="1:90">
      <c r="A423" s="181"/>
      <c r="B423" s="181"/>
      <c r="C423" s="181"/>
      <c r="D423" s="181"/>
      <c r="E423" s="181"/>
      <c r="F423" s="181"/>
      <c r="G423" s="181"/>
      <c r="H423" s="181"/>
      <c r="I423" s="181"/>
      <c r="J423" s="181"/>
      <c r="K423" s="254"/>
      <c r="L423" s="181"/>
      <c r="M423" s="181"/>
      <c r="N423" s="181"/>
      <c r="O423" s="181"/>
      <c r="P423" s="181"/>
      <c r="Q423" s="181"/>
      <c r="R423" s="181"/>
      <c r="S423" s="181"/>
      <c r="T423" s="181"/>
      <c r="U423" s="181"/>
      <c r="V423" s="181"/>
      <c r="W423" s="181"/>
      <c r="X423" s="181"/>
      <c r="Y423" s="181"/>
      <c r="Z423" s="181"/>
      <c r="AA423" s="181"/>
      <c r="AB423" s="181"/>
      <c r="AC423" s="181"/>
      <c r="AD423" s="181"/>
      <c r="AE423" s="181"/>
      <c r="AF423" s="181"/>
      <c r="AG423" s="181"/>
      <c r="AH423" s="181"/>
      <c r="AI423" s="181"/>
      <c r="AJ423" s="181"/>
      <c r="AK423" s="181"/>
      <c r="AL423" s="181"/>
      <c r="AM423" s="181"/>
      <c r="AN423" s="181"/>
      <c r="AO423" s="181"/>
      <c r="AP423" s="181"/>
      <c r="AQ423" s="181"/>
      <c r="AR423" s="181"/>
      <c r="AS423" s="181"/>
      <c r="AT423" s="181"/>
      <c r="AU423" s="181"/>
      <c r="AV423" s="181"/>
      <c r="AW423" s="181"/>
      <c r="AX423" s="181"/>
      <c r="AY423" s="181"/>
      <c r="AZ423" s="181"/>
      <c r="BA423" s="181"/>
      <c r="BB423" s="181"/>
      <c r="BC423" s="173"/>
      <c r="BD423" s="173"/>
      <c r="BE423" s="173"/>
      <c r="BF423" s="173"/>
      <c r="BG423" s="173"/>
      <c r="BH423" s="173"/>
      <c r="BI423" s="173"/>
      <c r="BJ423" s="173"/>
      <c r="BK423" s="173"/>
      <c r="BL423" s="173"/>
      <c r="BM423" s="173"/>
      <c r="BN423" s="181"/>
      <c r="BO423" s="181"/>
      <c r="BP423" s="181"/>
      <c r="BQ423" s="181"/>
      <c r="BR423" s="181"/>
      <c r="BS423" s="181"/>
      <c r="BT423" s="181"/>
      <c r="BU423" s="173"/>
      <c r="BV423" s="173"/>
      <c r="BW423" s="173"/>
      <c r="BX423" s="173"/>
      <c r="BY423" s="173"/>
      <c r="BZ423" s="173"/>
      <c r="CA423" s="173"/>
      <c r="CB423" s="173"/>
      <c r="CC423" s="173"/>
      <c r="CD423" s="173"/>
      <c r="CE423" s="173"/>
      <c r="CF423" s="173"/>
      <c r="CG423" s="173"/>
      <c r="CH423" s="173"/>
      <c r="CI423" s="173"/>
      <c r="CJ423" s="173"/>
      <c r="CK423" s="173"/>
      <c r="CL423" s="173"/>
    </row>
    <row r="424" spans="1:90">
      <c r="A424" s="181"/>
      <c r="B424" s="181"/>
      <c r="C424" s="181"/>
      <c r="D424" s="181"/>
      <c r="E424" s="181"/>
      <c r="F424" s="181"/>
      <c r="G424" s="181"/>
      <c r="H424" s="181"/>
      <c r="I424" s="181"/>
      <c r="J424" s="181"/>
      <c r="K424" s="254"/>
      <c r="L424" s="181"/>
      <c r="M424" s="181"/>
      <c r="N424" s="181"/>
      <c r="O424" s="181"/>
      <c r="P424" s="181"/>
      <c r="Q424" s="181"/>
      <c r="R424" s="181"/>
      <c r="S424" s="181"/>
      <c r="T424" s="181"/>
      <c r="U424" s="181"/>
      <c r="V424" s="181"/>
      <c r="W424" s="181"/>
      <c r="X424" s="181"/>
      <c r="Y424" s="181"/>
      <c r="Z424" s="181"/>
      <c r="AA424" s="181"/>
      <c r="AB424" s="181"/>
      <c r="AC424" s="181"/>
      <c r="AD424" s="181"/>
      <c r="AE424" s="181"/>
      <c r="AF424" s="181"/>
      <c r="AG424" s="181"/>
      <c r="AH424" s="181"/>
      <c r="AI424" s="181"/>
      <c r="AJ424" s="181"/>
      <c r="AK424" s="181"/>
      <c r="AL424" s="181"/>
      <c r="AM424" s="181"/>
      <c r="AN424" s="181"/>
      <c r="AO424" s="181"/>
      <c r="AP424" s="181"/>
      <c r="AQ424" s="181"/>
      <c r="AR424" s="181"/>
      <c r="AS424" s="181"/>
      <c r="AT424" s="181"/>
      <c r="AU424" s="181"/>
      <c r="AV424" s="181"/>
      <c r="AW424" s="181"/>
      <c r="AX424" s="181"/>
      <c r="AY424" s="181"/>
      <c r="AZ424" s="181"/>
      <c r="BA424" s="181"/>
      <c r="BB424" s="181"/>
      <c r="BC424" s="173"/>
      <c r="BD424" s="173"/>
      <c r="BE424" s="173"/>
      <c r="BF424" s="173"/>
      <c r="BG424" s="173"/>
      <c r="BH424" s="173"/>
      <c r="BI424" s="173"/>
      <c r="BJ424" s="173"/>
      <c r="BK424" s="173"/>
      <c r="BL424" s="173"/>
      <c r="BM424" s="173"/>
      <c r="BN424" s="181"/>
      <c r="BO424" s="181"/>
      <c r="BP424" s="181"/>
      <c r="BQ424" s="181"/>
      <c r="BR424" s="181"/>
      <c r="BS424" s="181"/>
      <c r="BT424" s="181"/>
      <c r="BU424" s="173"/>
      <c r="BV424" s="173"/>
      <c r="BW424" s="173"/>
      <c r="BX424" s="173"/>
      <c r="BY424" s="173"/>
      <c r="BZ424" s="173"/>
      <c r="CA424" s="173"/>
      <c r="CB424" s="173"/>
      <c r="CC424" s="173"/>
      <c r="CD424" s="173"/>
      <c r="CE424" s="173"/>
      <c r="CF424" s="173"/>
      <c r="CG424" s="173"/>
      <c r="CH424" s="173"/>
      <c r="CI424" s="173"/>
      <c r="CJ424" s="173"/>
      <c r="CK424" s="173"/>
      <c r="CL424" s="173"/>
    </row>
    <row r="425" spans="1:90">
      <c r="A425" s="181"/>
      <c r="B425" s="181"/>
      <c r="C425" s="181"/>
      <c r="D425" s="181"/>
      <c r="E425" s="181"/>
      <c r="F425" s="181"/>
      <c r="G425" s="181"/>
      <c r="H425" s="181"/>
      <c r="I425" s="181"/>
      <c r="J425" s="181"/>
      <c r="K425" s="254"/>
      <c r="L425" s="181"/>
      <c r="M425" s="181"/>
      <c r="N425" s="181"/>
      <c r="O425" s="181"/>
      <c r="P425" s="181"/>
      <c r="Q425" s="181"/>
      <c r="R425" s="181"/>
      <c r="S425" s="181"/>
      <c r="T425" s="181"/>
      <c r="U425" s="181"/>
      <c r="V425" s="181"/>
      <c r="W425" s="181"/>
      <c r="X425" s="181"/>
      <c r="Y425" s="181"/>
      <c r="Z425" s="181"/>
      <c r="AA425" s="181"/>
      <c r="AB425" s="181"/>
      <c r="AC425" s="181"/>
      <c r="AD425" s="181"/>
      <c r="AE425" s="181"/>
      <c r="AF425" s="181"/>
      <c r="AG425" s="181"/>
      <c r="AH425" s="181"/>
      <c r="AI425" s="181"/>
      <c r="AJ425" s="181"/>
      <c r="AK425" s="181"/>
      <c r="AL425" s="181"/>
      <c r="AM425" s="181"/>
      <c r="AN425" s="181"/>
      <c r="AO425" s="181"/>
      <c r="AP425" s="181"/>
      <c r="AQ425" s="181"/>
      <c r="AR425" s="181"/>
      <c r="AS425" s="181"/>
      <c r="AT425" s="181"/>
      <c r="AU425" s="181"/>
      <c r="AV425" s="181"/>
      <c r="AW425" s="181"/>
      <c r="AX425" s="181"/>
      <c r="AY425" s="181"/>
      <c r="AZ425" s="181"/>
      <c r="BA425" s="181"/>
      <c r="BB425" s="181"/>
      <c r="BC425" s="173"/>
      <c r="BD425" s="173"/>
      <c r="BE425" s="173"/>
      <c r="BF425" s="173"/>
      <c r="BG425" s="173"/>
      <c r="BH425" s="173"/>
      <c r="BI425" s="173"/>
      <c r="BJ425" s="173"/>
      <c r="BK425" s="173"/>
      <c r="BL425" s="173"/>
      <c r="BM425" s="173"/>
      <c r="BN425" s="181"/>
      <c r="BO425" s="181"/>
      <c r="BP425" s="181"/>
      <c r="BQ425" s="181"/>
      <c r="BR425" s="181"/>
      <c r="BS425" s="181"/>
      <c r="BT425" s="181"/>
      <c r="BU425" s="173"/>
      <c r="BV425" s="173"/>
      <c r="BW425" s="173"/>
      <c r="BX425" s="173"/>
      <c r="BY425" s="173"/>
      <c r="BZ425" s="173"/>
      <c r="CA425" s="173"/>
      <c r="CB425" s="173"/>
      <c r="CC425" s="173"/>
      <c r="CD425" s="173"/>
      <c r="CE425" s="173"/>
      <c r="CF425" s="173"/>
      <c r="CG425" s="173"/>
      <c r="CH425" s="173"/>
      <c r="CI425" s="173"/>
      <c r="CJ425" s="173"/>
      <c r="CK425" s="173"/>
      <c r="CL425" s="173"/>
    </row>
    <row r="426" spans="1:90">
      <c r="A426" s="181"/>
      <c r="B426" s="181"/>
      <c r="C426" s="181"/>
      <c r="D426" s="181"/>
      <c r="E426" s="181"/>
      <c r="F426" s="181"/>
      <c r="G426" s="181"/>
      <c r="H426" s="181"/>
      <c r="I426" s="181"/>
      <c r="J426" s="181"/>
      <c r="K426" s="254"/>
      <c r="L426" s="181"/>
      <c r="M426" s="181"/>
      <c r="N426" s="181"/>
      <c r="O426" s="181"/>
      <c r="P426" s="181"/>
      <c r="Q426" s="181"/>
      <c r="R426" s="181"/>
      <c r="S426" s="181"/>
      <c r="T426" s="181"/>
      <c r="U426" s="181"/>
      <c r="V426" s="181"/>
      <c r="W426" s="181"/>
      <c r="X426" s="181"/>
      <c r="Y426" s="181"/>
      <c r="Z426" s="181"/>
      <c r="AA426" s="181"/>
      <c r="AB426" s="181"/>
      <c r="AC426" s="181"/>
      <c r="AD426" s="181"/>
      <c r="AE426" s="181"/>
      <c r="AF426" s="181"/>
      <c r="AG426" s="181"/>
      <c r="AH426" s="181"/>
      <c r="AI426" s="181"/>
      <c r="AJ426" s="181"/>
      <c r="AK426" s="181"/>
      <c r="AL426" s="181"/>
      <c r="AM426" s="181"/>
      <c r="AN426" s="181"/>
      <c r="AO426" s="181"/>
      <c r="AP426" s="181"/>
      <c r="AQ426" s="181"/>
      <c r="AR426" s="181"/>
      <c r="AS426" s="181"/>
      <c r="AT426" s="181"/>
      <c r="AU426" s="181"/>
      <c r="AV426" s="181"/>
      <c r="AW426" s="181"/>
      <c r="AX426" s="181"/>
      <c r="AY426" s="181"/>
      <c r="AZ426" s="181"/>
      <c r="BA426" s="181"/>
      <c r="BB426" s="181"/>
      <c r="BC426" s="173"/>
      <c r="BD426" s="173"/>
      <c r="BE426" s="173"/>
      <c r="BF426" s="173"/>
      <c r="BG426" s="173"/>
      <c r="BH426" s="173"/>
      <c r="BI426" s="173"/>
      <c r="BJ426" s="173"/>
      <c r="BK426" s="173"/>
      <c r="BL426" s="173"/>
      <c r="BM426" s="173"/>
      <c r="BN426" s="181"/>
      <c r="BO426" s="181"/>
      <c r="BP426" s="181"/>
      <c r="BQ426" s="181"/>
      <c r="BR426" s="181"/>
      <c r="BS426" s="181"/>
      <c r="BT426" s="181"/>
      <c r="BU426" s="173"/>
      <c r="BV426" s="173"/>
      <c r="BW426" s="173"/>
      <c r="BX426" s="173"/>
      <c r="BY426" s="173"/>
      <c r="BZ426" s="173"/>
      <c r="CA426" s="173"/>
      <c r="CB426" s="173"/>
      <c r="CC426" s="173"/>
      <c r="CD426" s="173"/>
      <c r="CE426" s="173"/>
      <c r="CF426" s="173"/>
      <c r="CG426" s="173"/>
      <c r="CH426" s="173"/>
      <c r="CI426" s="173"/>
      <c r="CJ426" s="173"/>
      <c r="CK426" s="173"/>
      <c r="CL426" s="173"/>
    </row>
    <row r="427" spans="1:90">
      <c r="A427" s="181"/>
      <c r="B427" s="181"/>
      <c r="C427" s="181"/>
      <c r="D427" s="181"/>
      <c r="E427" s="181"/>
      <c r="F427" s="181"/>
      <c r="G427" s="181"/>
      <c r="H427" s="181"/>
      <c r="I427" s="181"/>
      <c r="J427" s="181"/>
      <c r="K427" s="254"/>
      <c r="L427" s="181"/>
      <c r="M427" s="181"/>
      <c r="N427" s="181"/>
      <c r="O427" s="181"/>
      <c r="P427" s="181"/>
      <c r="Q427" s="181"/>
      <c r="R427" s="181"/>
      <c r="S427" s="181"/>
      <c r="T427" s="181"/>
      <c r="U427" s="181"/>
      <c r="V427" s="181"/>
      <c r="W427" s="181"/>
      <c r="X427" s="181"/>
      <c r="Y427" s="181"/>
      <c r="Z427" s="181"/>
      <c r="AA427" s="181"/>
      <c r="AB427" s="181"/>
      <c r="AC427" s="181"/>
      <c r="AD427" s="181"/>
      <c r="AE427" s="181"/>
      <c r="AF427" s="181"/>
      <c r="AG427" s="181"/>
      <c r="AH427" s="181"/>
      <c r="AI427" s="181"/>
      <c r="AJ427" s="181"/>
      <c r="AK427" s="181"/>
      <c r="AL427" s="181"/>
      <c r="AM427" s="181"/>
      <c r="AN427" s="181"/>
      <c r="AO427" s="181"/>
      <c r="AP427" s="181"/>
      <c r="AQ427" s="181"/>
      <c r="AR427" s="181"/>
      <c r="AS427" s="181"/>
      <c r="AT427" s="181"/>
      <c r="AU427" s="181"/>
      <c r="AV427" s="181"/>
      <c r="AW427" s="181"/>
      <c r="AX427" s="181"/>
      <c r="AY427" s="181"/>
      <c r="AZ427" s="181"/>
      <c r="BA427" s="181"/>
      <c r="BB427" s="181"/>
      <c r="BC427" s="173"/>
      <c r="BD427" s="173"/>
      <c r="BE427" s="173"/>
      <c r="BF427" s="173"/>
      <c r="BG427" s="173"/>
      <c r="BH427" s="173"/>
      <c r="BI427" s="173"/>
      <c r="BJ427" s="173"/>
      <c r="BK427" s="173"/>
      <c r="BL427" s="173"/>
      <c r="BM427" s="173"/>
      <c r="BN427" s="181"/>
      <c r="BO427" s="181"/>
      <c r="BP427" s="181"/>
      <c r="BQ427" s="181"/>
      <c r="BR427" s="181"/>
      <c r="BS427" s="181"/>
      <c r="BT427" s="181"/>
      <c r="BU427" s="173"/>
      <c r="BV427" s="173"/>
      <c r="BW427" s="173"/>
      <c r="BX427" s="173"/>
      <c r="BY427" s="173"/>
      <c r="BZ427" s="173"/>
      <c r="CA427" s="173"/>
      <c r="CB427" s="173"/>
      <c r="CC427" s="173"/>
      <c r="CD427" s="173"/>
      <c r="CE427" s="173"/>
      <c r="CF427" s="173"/>
      <c r="CG427" s="173"/>
      <c r="CH427" s="173"/>
      <c r="CI427" s="173"/>
      <c r="CJ427" s="173"/>
      <c r="CK427" s="173"/>
      <c r="CL427" s="173"/>
    </row>
    <row r="428" spans="1:90">
      <c r="A428" s="181"/>
      <c r="B428" s="181"/>
      <c r="C428" s="181"/>
      <c r="D428" s="181"/>
      <c r="E428" s="181"/>
      <c r="F428" s="181"/>
      <c r="G428" s="181"/>
      <c r="H428" s="181"/>
      <c r="I428" s="181"/>
      <c r="J428" s="181"/>
      <c r="K428" s="254"/>
      <c r="L428" s="181"/>
      <c r="M428" s="181"/>
      <c r="N428" s="181"/>
      <c r="O428" s="181"/>
      <c r="P428" s="181"/>
      <c r="Q428" s="181"/>
      <c r="R428" s="181"/>
      <c r="S428" s="181"/>
      <c r="T428" s="181"/>
      <c r="U428" s="181"/>
      <c r="V428" s="181"/>
      <c r="W428" s="181"/>
      <c r="X428" s="181"/>
      <c r="Y428" s="181"/>
      <c r="Z428" s="181"/>
      <c r="AA428" s="181"/>
      <c r="AB428" s="181"/>
      <c r="AC428" s="181"/>
      <c r="AD428" s="181"/>
      <c r="AE428" s="181"/>
      <c r="AF428" s="181"/>
      <c r="AG428" s="181"/>
      <c r="AH428" s="181"/>
      <c r="AI428" s="181"/>
      <c r="AJ428" s="181"/>
      <c r="AK428" s="181"/>
      <c r="AL428" s="181"/>
      <c r="AM428" s="181"/>
      <c r="AN428" s="181"/>
      <c r="AO428" s="181"/>
      <c r="AP428" s="181"/>
      <c r="AQ428" s="181"/>
      <c r="AR428" s="181"/>
      <c r="AS428" s="181"/>
      <c r="AT428" s="181"/>
      <c r="AU428" s="181"/>
      <c r="AV428" s="181"/>
      <c r="AW428" s="181"/>
      <c r="AX428" s="181"/>
      <c r="AY428" s="181"/>
      <c r="AZ428" s="181"/>
      <c r="BA428" s="181"/>
      <c r="BB428" s="181"/>
      <c r="BC428" s="173"/>
      <c r="BD428" s="173"/>
      <c r="BE428" s="173"/>
      <c r="BF428" s="173"/>
      <c r="BG428" s="173"/>
      <c r="BH428" s="173"/>
      <c r="BI428" s="173"/>
      <c r="BJ428" s="173"/>
      <c r="BK428" s="173"/>
      <c r="BL428" s="173"/>
      <c r="BM428" s="173"/>
      <c r="BN428" s="181"/>
      <c r="BO428" s="181"/>
      <c r="BP428" s="181"/>
      <c r="BQ428" s="181"/>
      <c r="BR428" s="181"/>
      <c r="BS428" s="181"/>
      <c r="BT428" s="181"/>
      <c r="BU428" s="173"/>
      <c r="BV428" s="173"/>
      <c r="BW428" s="173"/>
      <c r="BX428" s="173"/>
      <c r="BY428" s="173"/>
      <c r="BZ428" s="173"/>
      <c r="CA428" s="173"/>
      <c r="CB428" s="173"/>
      <c r="CC428" s="173"/>
      <c r="CD428" s="173"/>
      <c r="CE428" s="173"/>
      <c r="CF428" s="173"/>
      <c r="CG428" s="173"/>
      <c r="CH428" s="173"/>
      <c r="CI428" s="173"/>
      <c r="CJ428" s="173"/>
      <c r="CK428" s="173"/>
      <c r="CL428" s="173"/>
    </row>
    <row r="429" spans="1:90">
      <c r="A429" s="181"/>
      <c r="B429" s="181"/>
      <c r="C429" s="181"/>
      <c r="D429" s="181"/>
      <c r="E429" s="181"/>
      <c r="F429" s="181"/>
      <c r="G429" s="181"/>
      <c r="H429" s="181"/>
      <c r="I429" s="181"/>
      <c r="J429" s="181"/>
      <c r="K429" s="254"/>
      <c r="L429" s="181"/>
      <c r="M429" s="181"/>
      <c r="N429" s="181"/>
      <c r="O429" s="181"/>
      <c r="P429" s="181"/>
      <c r="Q429" s="181"/>
      <c r="R429" s="181"/>
      <c r="S429" s="181"/>
      <c r="T429" s="181"/>
      <c r="U429" s="181"/>
      <c r="V429" s="181"/>
      <c r="W429" s="181"/>
      <c r="X429" s="181"/>
      <c r="Y429" s="181"/>
      <c r="Z429" s="181"/>
      <c r="AA429" s="181"/>
      <c r="AB429" s="181"/>
      <c r="AC429" s="181"/>
      <c r="AD429" s="181"/>
      <c r="AE429" s="181"/>
      <c r="AF429" s="181"/>
      <c r="AG429" s="181"/>
      <c r="AH429" s="181"/>
      <c r="AI429" s="181"/>
      <c r="AJ429" s="181"/>
      <c r="AK429" s="181"/>
      <c r="AL429" s="181"/>
      <c r="AM429" s="181"/>
      <c r="AN429" s="181"/>
      <c r="AO429" s="181"/>
      <c r="AP429" s="181"/>
      <c r="AQ429" s="181"/>
      <c r="AR429" s="181"/>
      <c r="AS429" s="181"/>
      <c r="AT429" s="181"/>
      <c r="AU429" s="181"/>
      <c r="AV429" s="181"/>
      <c r="AW429" s="181"/>
      <c r="AX429" s="181"/>
      <c r="AY429" s="181"/>
      <c r="AZ429" s="181"/>
      <c r="BA429" s="181"/>
      <c r="BB429" s="181"/>
      <c r="BC429" s="173"/>
      <c r="BD429" s="173"/>
      <c r="BE429" s="173"/>
      <c r="BF429" s="173"/>
      <c r="BG429" s="173"/>
      <c r="BH429" s="173"/>
      <c r="BI429" s="173"/>
      <c r="BJ429" s="173"/>
      <c r="BK429" s="173"/>
      <c r="BL429" s="173"/>
      <c r="BM429" s="173"/>
      <c r="BN429" s="181"/>
      <c r="BO429" s="181"/>
      <c r="BP429" s="181"/>
      <c r="BQ429" s="181"/>
      <c r="BR429" s="181"/>
      <c r="BS429" s="181"/>
      <c r="BT429" s="181"/>
      <c r="BU429" s="173"/>
      <c r="BV429" s="173"/>
      <c r="BW429" s="173"/>
      <c r="BX429" s="173"/>
      <c r="BY429" s="173"/>
      <c r="BZ429" s="173"/>
      <c r="CA429" s="173"/>
      <c r="CB429" s="173"/>
      <c r="CC429" s="173"/>
      <c r="CD429" s="173"/>
      <c r="CE429" s="173"/>
      <c r="CF429" s="173"/>
      <c r="CG429" s="173"/>
      <c r="CH429" s="173"/>
      <c r="CI429" s="173"/>
      <c r="CJ429" s="173"/>
      <c r="CK429" s="173"/>
      <c r="CL429" s="173"/>
    </row>
    <row r="430" spans="1:90">
      <c r="A430" s="181"/>
      <c r="B430" s="181"/>
      <c r="C430" s="181"/>
      <c r="D430" s="181"/>
      <c r="E430" s="181"/>
      <c r="F430" s="181"/>
      <c r="G430" s="181"/>
      <c r="H430" s="181"/>
      <c r="I430" s="181"/>
      <c r="J430" s="181"/>
      <c r="K430" s="254"/>
      <c r="L430" s="181"/>
      <c r="M430" s="181"/>
      <c r="N430" s="181"/>
      <c r="O430" s="181"/>
      <c r="P430" s="181"/>
      <c r="Q430" s="181"/>
      <c r="R430" s="181"/>
      <c r="S430" s="181"/>
      <c r="T430" s="181"/>
      <c r="U430" s="181"/>
      <c r="V430" s="181"/>
      <c r="W430" s="181"/>
      <c r="X430" s="181"/>
      <c r="Y430" s="181"/>
      <c r="Z430" s="181"/>
      <c r="AA430" s="181"/>
      <c r="AB430" s="181"/>
      <c r="AC430" s="181"/>
      <c r="AD430" s="181"/>
      <c r="AE430" s="181"/>
      <c r="AF430" s="181"/>
      <c r="AG430" s="181"/>
      <c r="AH430" s="181"/>
      <c r="AI430" s="181"/>
      <c r="AJ430" s="181"/>
      <c r="AK430" s="181"/>
      <c r="AL430" s="181"/>
      <c r="AM430" s="181"/>
      <c r="AN430" s="181"/>
      <c r="AO430" s="181"/>
      <c r="AP430" s="181"/>
      <c r="AQ430" s="181"/>
      <c r="AR430" s="181"/>
      <c r="AS430" s="181"/>
      <c r="AT430" s="181"/>
      <c r="AU430" s="181"/>
      <c r="AV430" s="181"/>
      <c r="AW430" s="181"/>
      <c r="AX430" s="181"/>
      <c r="AY430" s="181"/>
      <c r="AZ430" s="181"/>
      <c r="BA430" s="181"/>
      <c r="BB430" s="181"/>
      <c r="BC430" s="173"/>
      <c r="BD430" s="173"/>
      <c r="BE430" s="173"/>
      <c r="BF430" s="173"/>
      <c r="BG430" s="173"/>
      <c r="BH430" s="173"/>
      <c r="BI430" s="173"/>
      <c r="BJ430" s="173"/>
      <c r="BK430" s="173"/>
      <c r="BL430" s="173"/>
      <c r="BM430" s="173"/>
      <c r="BN430" s="181"/>
      <c r="BO430" s="181"/>
      <c r="BP430" s="181"/>
      <c r="BQ430" s="181"/>
      <c r="BR430" s="181"/>
      <c r="BS430" s="181"/>
      <c r="BT430" s="181"/>
      <c r="BU430" s="173"/>
      <c r="BV430" s="173"/>
      <c r="BW430" s="173"/>
      <c r="BX430" s="173"/>
      <c r="BY430" s="173"/>
      <c r="BZ430" s="173"/>
      <c r="CA430" s="173"/>
      <c r="CB430" s="173"/>
      <c r="CC430" s="173"/>
      <c r="CD430" s="173"/>
      <c r="CE430" s="173"/>
      <c r="CF430" s="173"/>
      <c r="CG430" s="173"/>
      <c r="CH430" s="173"/>
      <c r="CI430" s="173"/>
      <c r="CJ430" s="173"/>
      <c r="CK430" s="173"/>
      <c r="CL430" s="173"/>
    </row>
    <row r="431" spans="1:90">
      <c r="A431" s="181"/>
      <c r="B431" s="181"/>
      <c r="C431" s="181"/>
      <c r="D431" s="181"/>
      <c r="E431" s="181"/>
      <c r="F431" s="181"/>
      <c r="G431" s="181"/>
      <c r="H431" s="181"/>
      <c r="I431" s="181"/>
      <c r="J431" s="181"/>
      <c r="K431" s="254"/>
      <c r="L431" s="181"/>
      <c r="M431" s="181"/>
      <c r="N431" s="181"/>
      <c r="O431" s="181"/>
      <c r="P431" s="181"/>
      <c r="Q431" s="181"/>
      <c r="R431" s="181"/>
      <c r="S431" s="181"/>
      <c r="T431" s="181"/>
      <c r="U431" s="181"/>
      <c r="V431" s="181"/>
      <c r="W431" s="181"/>
      <c r="X431" s="181"/>
      <c r="Y431" s="181"/>
      <c r="Z431" s="181"/>
      <c r="AA431" s="181"/>
      <c r="AB431" s="181"/>
      <c r="AC431" s="181"/>
      <c r="AD431" s="181"/>
      <c r="AE431" s="181"/>
      <c r="AF431" s="181"/>
      <c r="AG431" s="181"/>
      <c r="AH431" s="181"/>
      <c r="AI431" s="181"/>
      <c r="AJ431" s="181"/>
      <c r="AK431" s="181"/>
      <c r="AL431" s="181"/>
      <c r="AM431" s="181"/>
      <c r="AN431" s="181"/>
      <c r="AO431" s="181"/>
      <c r="AP431" s="181"/>
      <c r="AQ431" s="181"/>
      <c r="AR431" s="181"/>
      <c r="AS431" s="181"/>
      <c r="AT431" s="181"/>
      <c r="AU431" s="181"/>
      <c r="AV431" s="181"/>
      <c r="AW431" s="181"/>
      <c r="AX431" s="181"/>
      <c r="AY431" s="181"/>
      <c r="AZ431" s="181"/>
      <c r="BA431" s="181"/>
      <c r="BB431" s="181"/>
      <c r="BC431" s="173"/>
      <c r="BD431" s="173"/>
      <c r="BE431" s="173"/>
      <c r="BF431" s="173"/>
      <c r="BG431" s="173"/>
      <c r="BH431" s="173"/>
      <c r="BI431" s="173"/>
      <c r="BJ431" s="173"/>
      <c r="BK431" s="173"/>
      <c r="BL431" s="173"/>
      <c r="BM431" s="173"/>
      <c r="BN431" s="181"/>
      <c r="BO431" s="181"/>
      <c r="BP431" s="181"/>
      <c r="BQ431" s="181"/>
      <c r="BR431" s="181"/>
      <c r="BS431" s="181"/>
      <c r="BT431" s="181"/>
      <c r="BU431" s="173"/>
      <c r="BV431" s="173"/>
      <c r="BW431" s="173"/>
      <c r="BX431" s="173"/>
      <c r="BY431" s="173"/>
      <c r="BZ431" s="173"/>
      <c r="CA431" s="173"/>
      <c r="CB431" s="173"/>
      <c r="CC431" s="173"/>
      <c r="CD431" s="173"/>
      <c r="CE431" s="173"/>
      <c r="CF431" s="173"/>
      <c r="CG431" s="173"/>
      <c r="CH431" s="173"/>
      <c r="CI431" s="173"/>
      <c r="CJ431" s="173"/>
      <c r="CK431" s="173"/>
      <c r="CL431" s="173"/>
    </row>
    <row r="432" spans="1:90">
      <c r="A432" s="181"/>
      <c r="B432" s="181"/>
      <c r="C432" s="181"/>
      <c r="D432" s="181"/>
      <c r="E432" s="181"/>
      <c r="F432" s="181"/>
      <c r="G432" s="181"/>
      <c r="H432" s="181"/>
      <c r="I432" s="181"/>
      <c r="J432" s="181"/>
      <c r="K432" s="254"/>
      <c r="L432" s="181"/>
      <c r="M432" s="181"/>
      <c r="N432" s="181"/>
      <c r="O432" s="181"/>
      <c r="P432" s="181"/>
      <c r="Q432" s="181"/>
      <c r="R432" s="181"/>
      <c r="S432" s="181"/>
      <c r="T432" s="181"/>
      <c r="U432" s="181"/>
      <c r="V432" s="181"/>
      <c r="W432" s="181"/>
      <c r="X432" s="181"/>
      <c r="Y432" s="181"/>
      <c r="Z432" s="181"/>
      <c r="AA432" s="181"/>
      <c r="AB432" s="181"/>
      <c r="AC432" s="181"/>
      <c r="AD432" s="181"/>
      <c r="AE432" s="181"/>
      <c r="AF432" s="181"/>
      <c r="AG432" s="181"/>
      <c r="AH432" s="181"/>
      <c r="AI432" s="181"/>
      <c r="AJ432" s="181"/>
      <c r="AK432" s="181"/>
      <c r="AL432" s="181"/>
      <c r="AM432" s="181"/>
      <c r="AN432" s="181"/>
      <c r="AO432" s="181"/>
      <c r="AP432" s="181"/>
      <c r="AQ432" s="181"/>
      <c r="AR432" s="181"/>
      <c r="AS432" s="181"/>
      <c r="AT432" s="181"/>
      <c r="AU432" s="181"/>
      <c r="AV432" s="181"/>
      <c r="AW432" s="181"/>
      <c r="AX432" s="181"/>
      <c r="AY432" s="181"/>
      <c r="AZ432" s="181"/>
      <c r="BA432" s="181"/>
      <c r="BB432" s="181"/>
      <c r="BC432" s="173"/>
      <c r="BD432" s="173"/>
      <c r="BE432" s="173"/>
      <c r="BF432" s="173"/>
      <c r="BG432" s="173"/>
      <c r="BH432" s="173"/>
      <c r="BI432" s="173"/>
      <c r="BJ432" s="173"/>
      <c r="BK432" s="173"/>
      <c r="BL432" s="173"/>
      <c r="BM432" s="173"/>
      <c r="BN432" s="181"/>
      <c r="BO432" s="181"/>
      <c r="BP432" s="181"/>
      <c r="BQ432" s="181"/>
      <c r="BR432" s="181"/>
      <c r="BS432" s="181"/>
      <c r="BT432" s="181"/>
      <c r="BU432" s="173"/>
      <c r="BV432" s="173"/>
      <c r="BW432" s="173"/>
      <c r="BX432" s="173"/>
      <c r="BY432" s="173"/>
      <c r="BZ432" s="173"/>
      <c r="CA432" s="173"/>
      <c r="CB432" s="173"/>
      <c r="CC432" s="173"/>
      <c r="CD432" s="173"/>
      <c r="CE432" s="173"/>
      <c r="CF432" s="173"/>
      <c r="CG432" s="173"/>
      <c r="CH432" s="173"/>
      <c r="CI432" s="173"/>
      <c r="CJ432" s="173"/>
      <c r="CK432" s="173"/>
      <c r="CL432" s="173"/>
    </row>
    <row r="433" spans="1:90">
      <c r="A433" s="181"/>
      <c r="B433" s="181"/>
      <c r="C433" s="181"/>
      <c r="D433" s="181"/>
      <c r="E433" s="181"/>
      <c r="F433" s="181"/>
      <c r="G433" s="181"/>
      <c r="H433" s="181"/>
      <c r="I433" s="181"/>
      <c r="J433" s="181"/>
      <c r="K433" s="254"/>
      <c r="L433" s="181"/>
      <c r="M433" s="181"/>
      <c r="N433" s="181"/>
      <c r="O433" s="181"/>
      <c r="P433" s="181"/>
      <c r="Q433" s="181"/>
      <c r="R433" s="181"/>
      <c r="S433" s="181"/>
      <c r="T433" s="181"/>
      <c r="U433" s="181"/>
      <c r="V433" s="181"/>
      <c r="W433" s="181"/>
      <c r="X433" s="181"/>
      <c r="Y433" s="181"/>
      <c r="Z433" s="181"/>
      <c r="AA433" s="181"/>
      <c r="AB433" s="181"/>
      <c r="AC433" s="181"/>
      <c r="AD433" s="181"/>
      <c r="AE433" s="181"/>
      <c r="AF433" s="181"/>
      <c r="AG433" s="181"/>
      <c r="AH433" s="181"/>
      <c r="AI433" s="181"/>
      <c r="AJ433" s="181"/>
      <c r="AK433" s="181"/>
      <c r="AL433" s="181"/>
      <c r="AM433" s="181"/>
      <c r="AN433" s="181"/>
      <c r="AO433" s="181"/>
      <c r="AP433" s="181"/>
      <c r="AQ433" s="181"/>
      <c r="AR433" s="181"/>
      <c r="AS433" s="181"/>
      <c r="AT433" s="181"/>
      <c r="AU433" s="181"/>
      <c r="AV433" s="181"/>
      <c r="AW433" s="181"/>
      <c r="AX433" s="181"/>
      <c r="AY433" s="181"/>
      <c r="AZ433" s="181"/>
      <c r="BA433" s="181"/>
      <c r="BB433" s="181"/>
      <c r="BC433" s="173"/>
      <c r="BD433" s="173"/>
      <c r="BE433" s="173"/>
      <c r="BF433" s="173"/>
      <c r="BG433" s="173"/>
      <c r="BH433" s="173"/>
      <c r="BI433" s="173"/>
      <c r="BJ433" s="173"/>
      <c r="BK433" s="173"/>
      <c r="BL433" s="173"/>
      <c r="BM433" s="173"/>
      <c r="BN433" s="181"/>
      <c r="BO433" s="181"/>
      <c r="BP433" s="181"/>
      <c r="BQ433" s="181"/>
      <c r="BR433" s="181"/>
      <c r="BS433" s="181"/>
      <c r="BT433" s="181"/>
      <c r="BU433" s="173"/>
      <c r="BV433" s="173"/>
      <c r="BW433" s="173"/>
      <c r="BX433" s="173"/>
      <c r="BY433" s="173"/>
      <c r="BZ433" s="173"/>
      <c r="CA433" s="173"/>
      <c r="CB433" s="173"/>
      <c r="CC433" s="173"/>
      <c r="CD433" s="173"/>
      <c r="CE433" s="173"/>
      <c r="CF433" s="173"/>
      <c r="CG433" s="173"/>
      <c r="CH433" s="173"/>
      <c r="CI433" s="173"/>
      <c r="CJ433" s="173"/>
      <c r="CK433" s="173"/>
      <c r="CL433" s="173"/>
    </row>
    <row r="434" spans="1:90">
      <c r="A434" s="181"/>
      <c r="B434" s="181"/>
      <c r="C434" s="181"/>
      <c r="D434" s="181"/>
      <c r="E434" s="181"/>
      <c r="F434" s="181"/>
      <c r="G434" s="181"/>
      <c r="H434" s="181"/>
      <c r="I434" s="181"/>
      <c r="J434" s="181"/>
      <c r="K434" s="254"/>
      <c r="L434" s="181"/>
      <c r="M434" s="181"/>
      <c r="N434" s="181"/>
      <c r="O434" s="181"/>
      <c r="P434" s="181"/>
      <c r="Q434" s="181"/>
      <c r="R434" s="181"/>
      <c r="S434" s="181"/>
      <c r="T434" s="181"/>
      <c r="U434" s="181"/>
      <c r="V434" s="181"/>
      <c r="W434" s="181"/>
      <c r="X434" s="181"/>
      <c r="Y434" s="181"/>
      <c r="Z434" s="181"/>
      <c r="AA434" s="181"/>
      <c r="AB434" s="181"/>
      <c r="AC434" s="181"/>
      <c r="AD434" s="181"/>
      <c r="AE434" s="181"/>
      <c r="AF434" s="181"/>
      <c r="AG434" s="181"/>
      <c r="AH434" s="181"/>
      <c r="AI434" s="181"/>
      <c r="AJ434" s="181"/>
      <c r="AK434" s="181"/>
      <c r="AL434" s="181"/>
      <c r="AM434" s="181"/>
      <c r="AN434" s="181"/>
      <c r="AO434" s="181"/>
      <c r="AP434" s="181"/>
      <c r="AQ434" s="181"/>
      <c r="AR434" s="181"/>
      <c r="AS434" s="181"/>
      <c r="AT434" s="181"/>
      <c r="AU434" s="181"/>
      <c r="AV434" s="181"/>
      <c r="AW434" s="181"/>
      <c r="AX434" s="181"/>
      <c r="AY434" s="181"/>
      <c r="AZ434" s="181"/>
      <c r="BA434" s="181"/>
      <c r="BB434" s="181"/>
      <c r="BC434" s="173"/>
      <c r="BD434" s="173"/>
      <c r="BE434" s="173"/>
      <c r="BF434" s="173"/>
      <c r="BG434" s="173"/>
      <c r="BH434" s="173"/>
      <c r="BI434" s="173"/>
      <c r="BJ434" s="173"/>
      <c r="BK434" s="173"/>
      <c r="BL434" s="173"/>
      <c r="BM434" s="173"/>
      <c r="BN434" s="181"/>
      <c r="BO434" s="181"/>
      <c r="BP434" s="181"/>
      <c r="BQ434" s="181"/>
      <c r="BR434" s="181"/>
      <c r="BS434" s="181"/>
      <c r="BT434" s="181"/>
      <c r="BU434" s="173"/>
      <c r="BV434" s="173"/>
      <c r="BW434" s="173"/>
      <c r="BX434" s="173"/>
      <c r="BY434" s="173"/>
      <c r="BZ434" s="173"/>
      <c r="CA434" s="173"/>
      <c r="CB434" s="173"/>
      <c r="CC434" s="173"/>
      <c r="CD434" s="173"/>
      <c r="CE434" s="173"/>
      <c r="CF434" s="173"/>
      <c r="CG434" s="173"/>
      <c r="CH434" s="173"/>
      <c r="CI434" s="173"/>
      <c r="CJ434" s="173"/>
      <c r="CK434" s="173"/>
      <c r="CL434" s="173"/>
    </row>
    <row r="435" spans="1:90">
      <c r="A435" s="181"/>
      <c r="B435" s="181"/>
      <c r="C435" s="181"/>
      <c r="D435" s="181"/>
      <c r="E435" s="181"/>
      <c r="F435" s="181"/>
      <c r="G435" s="181"/>
      <c r="H435" s="181"/>
      <c r="I435" s="181"/>
      <c r="J435" s="181"/>
      <c r="K435" s="254"/>
      <c r="L435" s="181"/>
      <c r="M435" s="181"/>
      <c r="N435" s="181"/>
      <c r="O435" s="181"/>
      <c r="P435" s="181"/>
      <c r="Q435" s="181"/>
      <c r="R435" s="181"/>
      <c r="S435" s="181"/>
      <c r="T435" s="181"/>
      <c r="U435" s="181"/>
      <c r="V435" s="181"/>
      <c r="W435" s="181"/>
      <c r="X435" s="181"/>
      <c r="Y435" s="181"/>
      <c r="Z435" s="181"/>
      <c r="AA435" s="181"/>
      <c r="AB435" s="181"/>
      <c r="AC435" s="181"/>
      <c r="AD435" s="181"/>
      <c r="AE435" s="181"/>
      <c r="AF435" s="181"/>
      <c r="AG435" s="181"/>
      <c r="AH435" s="181"/>
      <c r="AI435" s="181"/>
      <c r="AJ435" s="181"/>
      <c r="AK435" s="181"/>
      <c r="AL435" s="181"/>
      <c r="AM435" s="181"/>
      <c r="AN435" s="181"/>
      <c r="AO435" s="181"/>
      <c r="AP435" s="181"/>
      <c r="AQ435" s="181"/>
      <c r="AR435" s="181"/>
      <c r="AS435" s="181"/>
      <c r="AT435" s="181"/>
      <c r="AU435" s="181"/>
      <c r="AV435" s="181"/>
      <c r="AW435" s="181"/>
      <c r="AX435" s="181"/>
      <c r="AY435" s="181"/>
      <c r="AZ435" s="181"/>
      <c r="BA435" s="181"/>
      <c r="BB435" s="181"/>
      <c r="BC435" s="173"/>
      <c r="BD435" s="173"/>
      <c r="BE435" s="173"/>
      <c r="BF435" s="173"/>
      <c r="BG435" s="173"/>
      <c r="BH435" s="173"/>
      <c r="BI435" s="173"/>
      <c r="BJ435" s="173"/>
      <c r="BK435" s="173"/>
      <c r="BL435" s="173"/>
      <c r="BM435" s="173"/>
      <c r="BN435" s="181"/>
      <c r="BO435" s="181"/>
      <c r="BP435" s="181"/>
      <c r="BQ435" s="181"/>
      <c r="BR435" s="181"/>
      <c r="BS435" s="181"/>
      <c r="BT435" s="181"/>
      <c r="BU435" s="173"/>
      <c r="BV435" s="173"/>
      <c r="BW435" s="173"/>
      <c r="BX435" s="173"/>
      <c r="BY435" s="173"/>
      <c r="BZ435" s="173"/>
      <c r="CA435" s="173"/>
      <c r="CB435" s="173"/>
      <c r="CC435" s="173"/>
      <c r="CD435" s="173"/>
      <c r="CE435" s="173"/>
      <c r="CF435" s="173"/>
      <c r="CG435" s="173"/>
      <c r="CH435" s="173"/>
      <c r="CI435" s="173"/>
      <c r="CJ435" s="173"/>
      <c r="CK435" s="173"/>
      <c r="CL435" s="173"/>
    </row>
    <row r="436" spans="1:90">
      <c r="A436" s="181"/>
      <c r="B436" s="181"/>
      <c r="C436" s="181"/>
      <c r="D436" s="181"/>
      <c r="E436" s="181"/>
      <c r="F436" s="181"/>
      <c r="G436" s="181"/>
      <c r="H436" s="181"/>
      <c r="I436" s="181"/>
      <c r="J436" s="181"/>
      <c r="K436" s="254"/>
      <c r="L436" s="181"/>
      <c r="M436" s="181"/>
      <c r="N436" s="181"/>
      <c r="O436" s="181"/>
      <c r="P436" s="181"/>
      <c r="Q436" s="181"/>
      <c r="R436" s="181"/>
      <c r="S436" s="181"/>
      <c r="T436" s="181"/>
      <c r="U436" s="181"/>
      <c r="V436" s="181"/>
      <c r="W436" s="181"/>
      <c r="X436" s="181"/>
      <c r="Y436" s="181"/>
      <c r="Z436" s="181"/>
      <c r="AA436" s="181"/>
      <c r="AB436" s="181"/>
      <c r="AC436" s="181"/>
      <c r="AD436" s="181"/>
      <c r="AE436" s="181"/>
      <c r="AF436" s="181"/>
      <c r="AG436" s="181"/>
      <c r="AH436" s="181"/>
      <c r="AI436" s="181"/>
      <c r="AJ436" s="181"/>
      <c r="AK436" s="181"/>
      <c r="AL436" s="181"/>
      <c r="AM436" s="181"/>
      <c r="AN436" s="181"/>
      <c r="AO436" s="181"/>
      <c r="AP436" s="181"/>
      <c r="AQ436" s="181"/>
      <c r="AR436" s="181"/>
      <c r="AS436" s="181"/>
      <c r="AT436" s="181"/>
      <c r="AU436" s="181"/>
      <c r="AV436" s="181"/>
      <c r="AW436" s="181"/>
      <c r="AX436" s="181"/>
      <c r="AY436" s="181"/>
      <c r="AZ436" s="181"/>
      <c r="BA436" s="181"/>
      <c r="BB436" s="181"/>
      <c r="BC436" s="173"/>
      <c r="BD436" s="173"/>
      <c r="BE436" s="173"/>
      <c r="BF436" s="173"/>
      <c r="BG436" s="173"/>
      <c r="BH436" s="173"/>
      <c r="BI436" s="173"/>
      <c r="BJ436" s="173"/>
      <c r="BK436" s="173"/>
      <c r="BL436" s="173"/>
      <c r="BM436" s="173"/>
      <c r="BN436" s="181"/>
      <c r="BO436" s="181"/>
      <c r="BP436" s="181"/>
      <c r="BQ436" s="181"/>
      <c r="BR436" s="181"/>
      <c r="BS436" s="181"/>
      <c r="BT436" s="181"/>
      <c r="BU436" s="173"/>
      <c r="BV436" s="173"/>
      <c r="BW436" s="173"/>
      <c r="BX436" s="173"/>
      <c r="BY436" s="173"/>
      <c r="BZ436" s="173"/>
      <c r="CA436" s="173"/>
      <c r="CB436" s="173"/>
      <c r="CC436" s="173"/>
      <c r="CD436" s="173"/>
      <c r="CE436" s="173"/>
      <c r="CF436" s="173"/>
      <c r="CG436" s="173"/>
      <c r="CH436" s="173"/>
      <c r="CI436" s="173"/>
      <c r="CJ436" s="173"/>
      <c r="CK436" s="173"/>
      <c r="CL436" s="173"/>
    </row>
    <row r="437" spans="1:90">
      <c r="A437" s="181"/>
      <c r="B437" s="181"/>
      <c r="C437" s="181"/>
      <c r="D437" s="181"/>
      <c r="E437" s="181"/>
      <c r="F437" s="181"/>
      <c r="G437" s="181"/>
      <c r="H437" s="181"/>
      <c r="I437" s="181"/>
      <c r="J437" s="181"/>
      <c r="K437" s="254"/>
      <c r="L437" s="181"/>
      <c r="M437" s="181"/>
      <c r="N437" s="181"/>
      <c r="O437" s="181"/>
      <c r="P437" s="181"/>
      <c r="Q437" s="181"/>
      <c r="R437" s="181"/>
      <c r="S437" s="181"/>
      <c r="T437" s="181"/>
      <c r="U437" s="181"/>
      <c r="V437" s="181"/>
      <c r="W437" s="181"/>
      <c r="X437" s="181"/>
      <c r="Y437" s="181"/>
      <c r="Z437" s="181"/>
      <c r="AA437" s="181"/>
      <c r="AB437" s="181"/>
      <c r="AC437" s="181"/>
      <c r="AD437" s="181"/>
      <c r="AE437" s="181"/>
      <c r="AF437" s="181"/>
      <c r="AG437" s="181"/>
      <c r="AH437" s="181"/>
      <c r="AI437" s="181"/>
      <c r="AJ437" s="181"/>
      <c r="AK437" s="181"/>
      <c r="AL437" s="181"/>
      <c r="AM437" s="181"/>
      <c r="AN437" s="181"/>
      <c r="AO437" s="181"/>
      <c r="AP437" s="181"/>
      <c r="AQ437" s="181"/>
      <c r="AR437" s="181"/>
      <c r="AS437" s="181"/>
      <c r="AT437" s="181"/>
      <c r="AU437" s="181"/>
      <c r="AV437" s="181"/>
      <c r="AW437" s="181"/>
      <c r="AX437" s="181"/>
      <c r="AY437" s="181"/>
      <c r="AZ437" s="181"/>
      <c r="BA437" s="181"/>
      <c r="BB437" s="181"/>
      <c r="BC437" s="173"/>
      <c r="BD437" s="173"/>
      <c r="BE437" s="173"/>
      <c r="BF437" s="173"/>
      <c r="BG437" s="173"/>
      <c r="BH437" s="173"/>
      <c r="BI437" s="173"/>
      <c r="BJ437" s="173"/>
      <c r="BK437" s="173"/>
      <c r="BL437" s="173"/>
      <c r="BM437" s="173"/>
      <c r="BN437" s="181"/>
      <c r="BO437" s="181"/>
      <c r="BP437" s="181"/>
      <c r="BQ437" s="181"/>
      <c r="BR437" s="181"/>
      <c r="BS437" s="181"/>
      <c r="BT437" s="181"/>
      <c r="BU437" s="173"/>
      <c r="BV437" s="173"/>
      <c r="BW437" s="173"/>
      <c r="BX437" s="173"/>
      <c r="BY437" s="173"/>
      <c r="BZ437" s="173"/>
      <c r="CA437" s="173"/>
      <c r="CB437" s="173"/>
      <c r="CC437" s="173"/>
      <c r="CD437" s="173"/>
      <c r="CE437" s="173"/>
      <c r="CF437" s="173"/>
      <c r="CG437" s="173"/>
      <c r="CH437" s="173"/>
      <c r="CI437" s="173"/>
      <c r="CJ437" s="173"/>
      <c r="CK437" s="173"/>
      <c r="CL437" s="173"/>
    </row>
    <row r="438" spans="1:90">
      <c r="A438" s="181"/>
      <c r="B438" s="181"/>
      <c r="C438" s="181"/>
      <c r="D438" s="181"/>
      <c r="E438" s="181"/>
      <c r="F438" s="181"/>
      <c r="G438" s="181"/>
      <c r="H438" s="181"/>
      <c r="I438" s="181"/>
      <c r="J438" s="181"/>
      <c r="K438" s="254"/>
      <c r="L438" s="181"/>
      <c r="M438" s="181"/>
      <c r="N438" s="181"/>
      <c r="O438" s="181"/>
      <c r="P438" s="181"/>
      <c r="Q438" s="181"/>
      <c r="R438" s="181"/>
      <c r="S438" s="181"/>
      <c r="T438" s="181"/>
      <c r="U438" s="181"/>
      <c r="V438" s="181"/>
      <c r="W438" s="181"/>
      <c r="X438" s="181"/>
      <c r="Y438" s="181"/>
      <c r="Z438" s="181"/>
      <c r="AA438" s="181"/>
      <c r="AB438" s="181"/>
      <c r="AC438" s="181"/>
      <c r="AD438" s="181"/>
      <c r="AE438" s="181"/>
      <c r="AF438" s="181"/>
      <c r="AG438" s="181"/>
      <c r="AH438" s="181"/>
      <c r="AI438" s="181"/>
      <c r="AJ438" s="181"/>
      <c r="AK438" s="181"/>
      <c r="AL438" s="181"/>
      <c r="AM438" s="181"/>
      <c r="AN438" s="181"/>
      <c r="AO438" s="181"/>
      <c r="AP438" s="181"/>
      <c r="AQ438" s="181"/>
      <c r="AR438" s="181"/>
      <c r="AS438" s="181"/>
      <c r="AT438" s="181"/>
      <c r="AU438" s="181"/>
      <c r="AV438" s="181"/>
      <c r="AW438" s="181"/>
      <c r="AX438" s="181"/>
      <c r="AY438" s="181"/>
      <c r="AZ438" s="181"/>
      <c r="BA438" s="181"/>
      <c r="BB438" s="181"/>
      <c r="BC438" s="173"/>
      <c r="BD438" s="173"/>
      <c r="BE438" s="173"/>
      <c r="BF438" s="173"/>
      <c r="BG438" s="173"/>
      <c r="BH438" s="173"/>
      <c r="BI438" s="173"/>
      <c r="BJ438" s="173"/>
      <c r="BK438" s="173"/>
      <c r="BL438" s="173"/>
      <c r="BM438" s="173"/>
      <c r="BN438" s="181"/>
      <c r="BO438" s="181"/>
      <c r="BP438" s="181"/>
      <c r="BQ438" s="181"/>
      <c r="BR438" s="181"/>
      <c r="BS438" s="181"/>
      <c r="BT438" s="181"/>
      <c r="BU438" s="173"/>
      <c r="BV438" s="173"/>
      <c r="BW438" s="173"/>
      <c r="BX438" s="173"/>
      <c r="BY438" s="173"/>
      <c r="BZ438" s="173"/>
      <c r="CA438" s="173"/>
      <c r="CB438" s="173"/>
      <c r="CC438" s="173"/>
      <c r="CD438" s="173"/>
      <c r="CE438" s="173"/>
      <c r="CF438" s="173"/>
      <c r="CG438" s="173"/>
      <c r="CH438" s="173"/>
      <c r="CI438" s="173"/>
      <c r="CJ438" s="173"/>
      <c r="CK438" s="173"/>
      <c r="CL438" s="173"/>
    </row>
    <row r="439" spans="1:90">
      <c r="A439" s="181"/>
      <c r="B439" s="181"/>
      <c r="C439" s="181"/>
      <c r="D439" s="181"/>
      <c r="E439" s="181"/>
      <c r="F439" s="181"/>
      <c r="G439" s="181"/>
      <c r="H439" s="181"/>
      <c r="I439" s="181"/>
      <c r="J439" s="181"/>
      <c r="K439" s="254"/>
      <c r="L439" s="181"/>
      <c r="M439" s="181"/>
      <c r="N439" s="181"/>
      <c r="O439" s="181"/>
      <c r="P439" s="181"/>
      <c r="Q439" s="181"/>
      <c r="R439" s="181"/>
      <c r="S439" s="181"/>
      <c r="T439" s="181"/>
      <c r="U439" s="181"/>
      <c r="V439" s="181"/>
      <c r="W439" s="181"/>
      <c r="X439" s="181"/>
      <c r="Y439" s="181"/>
      <c r="Z439" s="181"/>
      <c r="AA439" s="181"/>
      <c r="AB439" s="181"/>
      <c r="AC439" s="181"/>
      <c r="AD439" s="181"/>
      <c r="AE439" s="181"/>
      <c r="AF439" s="181"/>
      <c r="AG439" s="181"/>
      <c r="AH439" s="181"/>
      <c r="AI439" s="181"/>
      <c r="AJ439" s="181"/>
      <c r="AK439" s="181"/>
      <c r="AL439" s="181"/>
      <c r="AM439" s="181"/>
      <c r="AN439" s="181"/>
      <c r="AO439" s="181"/>
      <c r="AP439" s="181"/>
      <c r="AQ439" s="181"/>
      <c r="AR439" s="181"/>
      <c r="AS439" s="181"/>
      <c r="AT439" s="181"/>
      <c r="AU439" s="181"/>
      <c r="AV439" s="181"/>
      <c r="AW439" s="181"/>
      <c r="AX439" s="181"/>
      <c r="AY439" s="181"/>
      <c r="AZ439" s="181"/>
      <c r="BA439" s="181"/>
      <c r="BB439" s="181"/>
      <c r="BC439" s="173"/>
      <c r="BD439" s="173"/>
      <c r="BE439" s="173"/>
      <c r="BF439" s="173"/>
      <c r="BG439" s="173"/>
      <c r="BH439" s="173"/>
      <c r="BI439" s="173"/>
      <c r="BJ439" s="173"/>
      <c r="BK439" s="173"/>
      <c r="BL439" s="173"/>
      <c r="BM439" s="173"/>
      <c r="BN439" s="173"/>
      <c r="BO439" s="173"/>
      <c r="BP439" s="173"/>
      <c r="BQ439" s="173"/>
      <c r="BR439" s="173"/>
      <c r="BS439" s="173"/>
      <c r="BT439" s="173"/>
      <c r="BU439" s="173"/>
      <c r="BV439" s="173"/>
      <c r="BW439" s="173"/>
      <c r="BX439" s="173"/>
      <c r="BY439" s="173"/>
      <c r="BZ439" s="173"/>
      <c r="CA439" s="173"/>
      <c r="CB439" s="173"/>
      <c r="CC439" s="173"/>
      <c r="CD439" s="173"/>
      <c r="CE439" s="173"/>
      <c r="CF439" s="173"/>
      <c r="CG439" s="173"/>
      <c r="CH439" s="173"/>
      <c r="CI439" s="173"/>
      <c r="CJ439" s="173"/>
      <c r="CK439" s="173"/>
      <c r="CL439" s="173"/>
    </row>
    <row r="440" spans="1:90">
      <c r="A440" s="181"/>
      <c r="B440" s="181"/>
      <c r="C440" s="181"/>
      <c r="D440" s="181"/>
      <c r="E440" s="181"/>
      <c r="F440" s="181"/>
      <c r="G440" s="181"/>
      <c r="H440" s="181"/>
      <c r="I440" s="181"/>
      <c r="J440" s="181"/>
      <c r="K440" s="254"/>
      <c r="L440" s="181"/>
      <c r="M440" s="181"/>
      <c r="N440" s="181"/>
      <c r="O440" s="181"/>
      <c r="P440" s="181"/>
      <c r="Q440" s="181"/>
      <c r="R440" s="181"/>
      <c r="S440" s="181"/>
      <c r="T440" s="181"/>
      <c r="U440" s="181"/>
      <c r="V440" s="181"/>
      <c r="W440" s="181"/>
      <c r="X440" s="181"/>
      <c r="Y440" s="181"/>
      <c r="Z440" s="181"/>
      <c r="AA440" s="181"/>
      <c r="AB440" s="181"/>
      <c r="AC440" s="181"/>
      <c r="AD440" s="181"/>
      <c r="AE440" s="181"/>
      <c r="AF440" s="181"/>
      <c r="AG440" s="181"/>
      <c r="AH440" s="181"/>
      <c r="AI440" s="181"/>
      <c r="AJ440" s="181"/>
      <c r="AK440" s="181"/>
      <c r="AL440" s="181"/>
      <c r="AM440" s="181"/>
      <c r="AN440" s="181"/>
      <c r="AO440" s="181"/>
      <c r="AP440" s="181"/>
      <c r="AQ440" s="181"/>
      <c r="AR440" s="181"/>
      <c r="AS440" s="181"/>
      <c r="AT440" s="181"/>
      <c r="AU440" s="181"/>
      <c r="AV440" s="181"/>
      <c r="AW440" s="181"/>
      <c r="AX440" s="181"/>
      <c r="AY440" s="181"/>
      <c r="AZ440" s="181"/>
      <c r="BA440" s="181"/>
      <c r="BB440" s="181"/>
      <c r="BC440" s="173"/>
      <c r="BD440" s="173"/>
      <c r="BE440" s="173"/>
      <c r="BF440" s="173"/>
      <c r="BG440" s="173"/>
      <c r="BH440" s="173"/>
      <c r="BI440" s="173"/>
      <c r="BJ440" s="173"/>
      <c r="BK440" s="173"/>
      <c r="BL440" s="173"/>
      <c r="BM440" s="173"/>
      <c r="BN440" s="173"/>
      <c r="BO440" s="173"/>
      <c r="BP440" s="173"/>
      <c r="BQ440" s="173"/>
      <c r="BR440" s="173"/>
      <c r="BS440" s="173"/>
      <c r="BT440" s="173"/>
      <c r="BU440" s="173"/>
      <c r="BV440" s="173"/>
      <c r="BW440" s="173"/>
      <c r="BX440" s="173"/>
      <c r="BY440" s="173"/>
      <c r="BZ440" s="173"/>
      <c r="CA440" s="173"/>
      <c r="CB440" s="173"/>
      <c r="CC440" s="173"/>
      <c r="CD440" s="173"/>
      <c r="CE440" s="173"/>
      <c r="CF440" s="173"/>
      <c r="CG440" s="173"/>
      <c r="CH440" s="173"/>
      <c r="CI440" s="173"/>
      <c r="CJ440" s="173"/>
      <c r="CK440" s="173"/>
      <c r="CL440" s="173"/>
    </row>
    <row r="441" spans="1:90">
      <c r="A441" s="181"/>
      <c r="B441" s="181"/>
      <c r="C441" s="181"/>
      <c r="D441" s="181"/>
      <c r="E441" s="181"/>
      <c r="F441" s="181"/>
      <c r="G441" s="181"/>
      <c r="H441" s="181"/>
      <c r="I441" s="181"/>
      <c r="J441" s="181"/>
      <c r="K441" s="254"/>
      <c r="L441" s="181"/>
      <c r="M441" s="181"/>
      <c r="N441" s="181"/>
      <c r="O441" s="181"/>
      <c r="P441" s="181"/>
      <c r="Q441" s="181"/>
      <c r="R441" s="181"/>
      <c r="S441" s="181"/>
      <c r="T441" s="181"/>
      <c r="U441" s="181"/>
      <c r="V441" s="181"/>
      <c r="W441" s="181"/>
      <c r="X441" s="181"/>
      <c r="Y441" s="181"/>
      <c r="Z441" s="181"/>
      <c r="AA441" s="181"/>
      <c r="AB441" s="181"/>
      <c r="AC441" s="181"/>
      <c r="AD441" s="181"/>
      <c r="AE441" s="181"/>
      <c r="AF441" s="181"/>
      <c r="AG441" s="181"/>
      <c r="AH441" s="181"/>
      <c r="AI441" s="181"/>
      <c r="AJ441" s="181"/>
      <c r="AK441" s="181"/>
      <c r="AL441" s="181"/>
      <c r="AM441" s="181"/>
      <c r="AN441" s="181"/>
      <c r="AO441" s="181"/>
      <c r="AP441" s="181"/>
      <c r="AQ441" s="181"/>
      <c r="AR441" s="181"/>
      <c r="AS441" s="181"/>
      <c r="AT441" s="181"/>
      <c r="AU441" s="181"/>
      <c r="AV441" s="181"/>
      <c r="AW441" s="181"/>
      <c r="AX441" s="181"/>
      <c r="AY441" s="181"/>
      <c r="AZ441" s="181"/>
      <c r="BA441" s="181"/>
      <c r="BB441" s="181"/>
      <c r="BC441" s="173"/>
      <c r="BD441" s="173"/>
      <c r="BE441" s="173"/>
      <c r="BF441" s="173"/>
      <c r="BG441" s="173"/>
      <c r="BH441" s="173"/>
      <c r="BI441" s="173"/>
      <c r="BJ441" s="173"/>
      <c r="BK441" s="173"/>
      <c r="BL441" s="173"/>
      <c r="BM441" s="173"/>
      <c r="BN441" s="173"/>
      <c r="BO441" s="173"/>
      <c r="BP441" s="173"/>
      <c r="BQ441" s="173"/>
      <c r="BR441" s="173"/>
      <c r="BS441" s="173"/>
      <c r="BT441" s="173"/>
      <c r="BU441" s="173"/>
      <c r="BV441" s="173"/>
      <c r="BW441" s="173"/>
      <c r="BX441" s="173"/>
      <c r="BY441" s="173"/>
      <c r="BZ441" s="173"/>
      <c r="CA441" s="173"/>
      <c r="CB441" s="173"/>
      <c r="CC441" s="173"/>
      <c r="CD441" s="173"/>
      <c r="CE441" s="173"/>
      <c r="CF441" s="173"/>
      <c r="CG441" s="173"/>
      <c r="CH441" s="173"/>
      <c r="CI441" s="173"/>
      <c r="CJ441" s="173"/>
      <c r="CK441" s="173"/>
      <c r="CL441" s="173"/>
    </row>
    <row r="442" spans="1:90">
      <c r="A442" s="181"/>
      <c r="B442" s="181"/>
      <c r="C442" s="181"/>
      <c r="D442" s="181"/>
      <c r="E442" s="181"/>
      <c r="F442" s="181"/>
      <c r="G442" s="181"/>
      <c r="H442" s="181"/>
      <c r="I442" s="181"/>
      <c r="J442" s="181"/>
      <c r="K442" s="254"/>
      <c r="L442" s="181"/>
      <c r="M442" s="181"/>
      <c r="N442" s="181"/>
      <c r="O442" s="181"/>
      <c r="P442" s="181"/>
      <c r="Q442" s="181"/>
      <c r="R442" s="181"/>
      <c r="S442" s="181"/>
      <c r="T442" s="181"/>
      <c r="U442" s="181"/>
      <c r="V442" s="181"/>
      <c r="W442" s="181"/>
      <c r="X442" s="181"/>
      <c r="Y442" s="181"/>
      <c r="Z442" s="181"/>
      <c r="AA442" s="181"/>
      <c r="AB442" s="181"/>
      <c r="AC442" s="181"/>
      <c r="AD442" s="181"/>
      <c r="AE442" s="181"/>
      <c r="AF442" s="181"/>
      <c r="AG442" s="181"/>
      <c r="AH442" s="181"/>
      <c r="AI442" s="181"/>
      <c r="AJ442" s="181"/>
      <c r="AK442" s="181"/>
      <c r="AL442" s="181"/>
      <c r="AM442" s="181"/>
      <c r="AN442" s="181"/>
      <c r="AO442" s="181"/>
      <c r="AP442" s="181"/>
      <c r="AQ442" s="181"/>
      <c r="AR442" s="181"/>
      <c r="AS442" s="181"/>
      <c r="AT442" s="181"/>
      <c r="AU442" s="181"/>
      <c r="AV442" s="181"/>
      <c r="AW442" s="181"/>
      <c r="AX442" s="181"/>
      <c r="AY442" s="181"/>
      <c r="AZ442" s="181"/>
      <c r="BA442" s="181"/>
      <c r="BB442" s="181"/>
      <c r="BC442" s="173"/>
      <c r="BD442" s="173"/>
      <c r="BE442" s="173"/>
      <c r="BF442" s="173"/>
      <c r="BG442" s="173"/>
      <c r="BH442" s="173"/>
      <c r="BI442" s="173"/>
      <c r="BJ442" s="173"/>
      <c r="BK442" s="173"/>
      <c r="BL442" s="173"/>
      <c r="BM442" s="173"/>
      <c r="BN442" s="173"/>
      <c r="BO442" s="173"/>
      <c r="BP442" s="173"/>
      <c r="BQ442" s="173"/>
      <c r="BR442" s="173"/>
      <c r="BS442" s="173"/>
      <c r="BT442" s="173"/>
      <c r="BU442" s="173"/>
      <c r="BV442" s="173"/>
      <c r="BW442" s="173"/>
      <c r="BX442" s="173"/>
      <c r="BY442" s="173"/>
      <c r="BZ442" s="173"/>
      <c r="CA442" s="173"/>
      <c r="CB442" s="173"/>
      <c r="CC442" s="173"/>
      <c r="CD442" s="173"/>
      <c r="CE442" s="173"/>
      <c r="CF442" s="173"/>
      <c r="CG442" s="173"/>
      <c r="CH442" s="173"/>
      <c r="CI442" s="173"/>
      <c r="CJ442" s="173"/>
      <c r="CK442" s="173"/>
      <c r="CL442" s="173"/>
    </row>
    <row r="443" spans="1:90">
      <c r="A443" s="181"/>
      <c r="B443" s="181"/>
      <c r="C443" s="181"/>
      <c r="D443" s="181"/>
      <c r="E443" s="181"/>
      <c r="F443" s="181"/>
      <c r="G443" s="181"/>
      <c r="H443" s="181"/>
      <c r="I443" s="181"/>
      <c r="J443" s="181"/>
      <c r="K443" s="254"/>
      <c r="L443" s="181"/>
      <c r="M443" s="181"/>
      <c r="N443" s="181"/>
      <c r="O443" s="181"/>
      <c r="P443" s="181"/>
      <c r="Q443" s="181"/>
      <c r="R443" s="181"/>
      <c r="S443" s="181"/>
      <c r="T443" s="181"/>
      <c r="U443" s="181"/>
      <c r="V443" s="181"/>
      <c r="W443" s="181"/>
      <c r="X443" s="181"/>
      <c r="Y443" s="181"/>
      <c r="Z443" s="181"/>
      <c r="AA443" s="181"/>
      <c r="AB443" s="181"/>
      <c r="AC443" s="181"/>
      <c r="AD443" s="181"/>
      <c r="AE443" s="181"/>
      <c r="AF443" s="181"/>
      <c r="AG443" s="181"/>
      <c r="AH443" s="181"/>
      <c r="AI443" s="181"/>
      <c r="AJ443" s="181"/>
      <c r="AK443" s="181"/>
      <c r="AL443" s="181"/>
      <c r="AM443" s="181"/>
      <c r="AN443" s="181"/>
      <c r="AO443" s="181"/>
      <c r="AP443" s="181"/>
      <c r="AQ443" s="181"/>
      <c r="AR443" s="181"/>
      <c r="AS443" s="181"/>
      <c r="AT443" s="181"/>
      <c r="AU443" s="181"/>
      <c r="AV443" s="181"/>
      <c r="AW443" s="181"/>
      <c r="AX443" s="181"/>
      <c r="AY443" s="181"/>
      <c r="AZ443" s="181"/>
      <c r="BA443" s="181"/>
      <c r="BB443" s="181"/>
      <c r="BC443" s="173"/>
      <c r="BD443" s="173"/>
      <c r="BE443" s="173"/>
      <c r="BF443" s="173"/>
      <c r="BG443" s="173"/>
      <c r="BH443" s="173"/>
      <c r="BI443" s="173"/>
      <c r="BJ443" s="173"/>
      <c r="BK443" s="173"/>
      <c r="BL443" s="173"/>
      <c r="BM443" s="173"/>
    </row>
    <row r="444" spans="1:90">
      <c r="A444" s="181"/>
      <c r="B444" s="181"/>
      <c r="C444" s="181"/>
      <c r="D444" s="181"/>
      <c r="E444" s="181"/>
      <c r="F444" s="181"/>
      <c r="G444" s="181"/>
      <c r="H444" s="181"/>
      <c r="I444" s="181"/>
      <c r="J444" s="181"/>
      <c r="K444" s="254"/>
      <c r="L444" s="181"/>
      <c r="M444" s="181"/>
      <c r="N444" s="181"/>
      <c r="O444" s="181"/>
      <c r="P444" s="181"/>
      <c r="Q444" s="181"/>
      <c r="R444" s="181"/>
      <c r="S444" s="181"/>
      <c r="T444" s="181"/>
      <c r="U444" s="181"/>
      <c r="V444" s="181"/>
      <c r="W444" s="181"/>
      <c r="X444" s="181"/>
      <c r="Y444" s="181"/>
      <c r="Z444" s="181"/>
      <c r="AA444" s="181"/>
      <c r="AB444" s="181"/>
      <c r="AC444" s="181"/>
      <c r="AD444" s="181"/>
      <c r="AE444" s="181"/>
      <c r="AF444" s="181"/>
      <c r="AG444" s="181"/>
      <c r="AH444" s="181"/>
      <c r="AI444" s="181"/>
      <c r="AJ444" s="181"/>
      <c r="AK444" s="181"/>
      <c r="AL444" s="181"/>
      <c r="AM444" s="181"/>
      <c r="AN444" s="181"/>
      <c r="AO444" s="181"/>
      <c r="AP444" s="181"/>
      <c r="AQ444" s="181"/>
      <c r="AR444" s="181"/>
      <c r="AS444" s="181"/>
      <c r="AT444" s="181"/>
      <c r="AU444" s="181"/>
      <c r="AV444" s="181"/>
      <c r="AW444" s="181"/>
      <c r="AX444" s="181"/>
      <c r="AY444" s="181"/>
      <c r="AZ444" s="181"/>
      <c r="BA444" s="181"/>
      <c r="BB444" s="181"/>
      <c r="BC444" s="173"/>
      <c r="BD444" s="173"/>
      <c r="BE444" s="173"/>
      <c r="BF444" s="173"/>
      <c r="BG444" s="173"/>
      <c r="BH444" s="173"/>
      <c r="BI444" s="173"/>
      <c r="BJ444" s="173"/>
      <c r="BK444" s="173"/>
      <c r="BL444" s="173"/>
      <c r="BM444" s="173"/>
    </row>
    <row r="445" spans="1:90">
      <c r="A445" s="181"/>
      <c r="B445" s="181"/>
      <c r="C445" s="181"/>
      <c r="D445" s="181"/>
      <c r="E445" s="181"/>
      <c r="F445" s="181"/>
      <c r="G445" s="181"/>
      <c r="H445" s="181"/>
      <c r="I445" s="181"/>
      <c r="J445" s="181"/>
      <c r="K445" s="254"/>
      <c r="L445" s="181"/>
      <c r="M445" s="181"/>
      <c r="N445" s="181"/>
      <c r="O445" s="181"/>
      <c r="P445" s="181"/>
      <c r="Q445" s="181"/>
      <c r="R445" s="181"/>
      <c r="S445" s="181"/>
      <c r="T445" s="181"/>
      <c r="U445" s="181"/>
      <c r="V445" s="181"/>
      <c r="W445" s="181"/>
      <c r="X445" s="181"/>
      <c r="Y445" s="181"/>
      <c r="Z445" s="181"/>
      <c r="AA445" s="181"/>
      <c r="AB445" s="181"/>
      <c r="AC445" s="181"/>
      <c r="AD445" s="181"/>
      <c r="AE445" s="181"/>
      <c r="AF445" s="181"/>
      <c r="AG445" s="181"/>
      <c r="AH445" s="181"/>
      <c r="AI445" s="181"/>
      <c r="AJ445" s="181"/>
      <c r="AK445" s="181"/>
      <c r="AL445" s="181"/>
      <c r="AM445" s="181"/>
      <c r="AN445" s="181"/>
      <c r="AO445" s="181"/>
      <c r="AP445" s="181"/>
      <c r="AQ445" s="181"/>
      <c r="AR445" s="181"/>
      <c r="AS445" s="181"/>
      <c r="AT445" s="181"/>
      <c r="AU445" s="181"/>
      <c r="AV445" s="181"/>
      <c r="AW445" s="181"/>
      <c r="AX445" s="181"/>
      <c r="AY445" s="181"/>
      <c r="AZ445" s="181"/>
      <c r="BA445" s="181"/>
      <c r="BB445" s="181"/>
      <c r="BC445" s="173"/>
      <c r="BD445" s="173"/>
      <c r="BE445" s="173"/>
      <c r="BF445" s="173"/>
      <c r="BG445" s="173"/>
      <c r="BH445" s="173"/>
      <c r="BI445" s="173"/>
      <c r="BJ445" s="173"/>
      <c r="BK445" s="173"/>
      <c r="BL445" s="173"/>
      <c r="BM445" s="173"/>
    </row>
    <row r="446" spans="1:90">
      <c r="A446" s="181"/>
      <c r="B446" s="181"/>
      <c r="C446" s="181"/>
      <c r="D446" s="181"/>
      <c r="E446" s="181"/>
      <c r="F446" s="181"/>
      <c r="G446" s="181"/>
      <c r="H446" s="181"/>
      <c r="I446" s="181"/>
      <c r="J446" s="181"/>
      <c r="K446" s="254"/>
      <c r="L446" s="181"/>
      <c r="M446" s="181"/>
      <c r="N446" s="181"/>
      <c r="O446" s="181"/>
      <c r="P446" s="181"/>
      <c r="Q446" s="181"/>
      <c r="R446" s="181"/>
      <c r="S446" s="181"/>
      <c r="T446" s="181"/>
      <c r="U446" s="181"/>
      <c r="V446" s="181"/>
      <c r="W446" s="181"/>
      <c r="X446" s="181"/>
      <c r="Y446" s="181"/>
      <c r="Z446" s="181"/>
      <c r="AA446" s="181"/>
      <c r="AB446" s="181"/>
      <c r="AC446" s="181"/>
      <c r="AD446" s="181"/>
      <c r="AE446" s="181"/>
      <c r="AF446" s="181"/>
      <c r="AG446" s="181"/>
      <c r="AH446" s="181"/>
      <c r="AI446" s="181"/>
      <c r="AJ446" s="181"/>
      <c r="AK446" s="181"/>
      <c r="AL446" s="181"/>
      <c r="AM446" s="181"/>
      <c r="AN446" s="181"/>
      <c r="AO446" s="181"/>
      <c r="AP446" s="181"/>
      <c r="AQ446" s="181"/>
      <c r="AR446" s="181"/>
      <c r="AS446" s="181"/>
      <c r="AT446" s="181"/>
      <c r="AU446" s="181"/>
      <c r="AV446" s="181"/>
      <c r="AW446" s="181"/>
      <c r="AX446" s="181"/>
      <c r="AY446" s="181"/>
      <c r="AZ446" s="181"/>
      <c r="BA446" s="181"/>
      <c r="BB446" s="181"/>
      <c r="BC446" s="173"/>
      <c r="BD446" s="173"/>
      <c r="BE446" s="173"/>
      <c r="BF446" s="173"/>
      <c r="BG446" s="173"/>
      <c r="BH446" s="173"/>
      <c r="BI446" s="173"/>
      <c r="BJ446" s="173"/>
      <c r="BK446" s="173"/>
      <c r="BL446" s="173"/>
      <c r="BM446" s="173"/>
    </row>
    <row r="447" spans="1:90">
      <c r="A447" s="181"/>
      <c r="B447" s="181"/>
      <c r="C447" s="181"/>
      <c r="D447" s="181"/>
      <c r="E447" s="181"/>
      <c r="F447" s="181"/>
      <c r="G447" s="181"/>
      <c r="H447" s="181"/>
      <c r="I447" s="181"/>
      <c r="J447" s="181"/>
      <c r="K447" s="254"/>
      <c r="L447" s="181"/>
      <c r="M447" s="181"/>
      <c r="N447" s="181"/>
      <c r="O447" s="181"/>
      <c r="P447" s="181"/>
      <c r="Q447" s="181"/>
      <c r="R447" s="181"/>
      <c r="S447" s="181"/>
      <c r="T447" s="181"/>
      <c r="U447" s="181"/>
      <c r="V447" s="181"/>
      <c r="W447" s="181"/>
      <c r="X447" s="181"/>
      <c r="Y447" s="181"/>
      <c r="Z447" s="181"/>
      <c r="AA447" s="181"/>
      <c r="AB447" s="181"/>
      <c r="AC447" s="181"/>
      <c r="AD447" s="181"/>
      <c r="AE447" s="181"/>
      <c r="AF447" s="181"/>
      <c r="AG447" s="181"/>
      <c r="AH447" s="181"/>
      <c r="AI447" s="181"/>
      <c r="AJ447" s="181"/>
      <c r="AK447" s="181"/>
      <c r="AL447" s="181"/>
      <c r="AM447" s="181"/>
      <c r="AN447" s="181"/>
      <c r="AO447" s="181"/>
      <c r="AP447" s="181"/>
      <c r="AQ447" s="181"/>
      <c r="AR447" s="181"/>
      <c r="AS447" s="181"/>
      <c r="AT447" s="181"/>
      <c r="AU447" s="181"/>
      <c r="AV447" s="181"/>
      <c r="AW447" s="181"/>
      <c r="AX447" s="181"/>
      <c r="AY447" s="181"/>
      <c r="AZ447" s="181"/>
      <c r="BA447" s="181"/>
      <c r="BB447" s="181"/>
      <c r="BC447" s="173"/>
      <c r="BD447" s="173"/>
      <c r="BE447" s="173"/>
      <c r="BF447" s="173"/>
      <c r="BG447" s="173"/>
      <c r="BH447" s="173"/>
      <c r="BI447" s="173"/>
      <c r="BJ447" s="173"/>
      <c r="BK447" s="173"/>
      <c r="BL447" s="173"/>
      <c r="BM447" s="173"/>
    </row>
    <row r="448" spans="1:90">
      <c r="A448" s="181"/>
      <c r="B448" s="181"/>
      <c r="C448" s="181"/>
      <c r="D448" s="181"/>
      <c r="E448" s="181"/>
      <c r="F448" s="181"/>
      <c r="G448" s="181"/>
      <c r="H448" s="181"/>
      <c r="I448" s="181"/>
      <c r="J448" s="181"/>
      <c r="K448" s="254"/>
      <c r="L448" s="181"/>
      <c r="M448" s="181"/>
      <c r="N448" s="181"/>
      <c r="O448" s="181"/>
      <c r="P448" s="181"/>
      <c r="Q448" s="181"/>
      <c r="R448" s="181"/>
      <c r="S448" s="181"/>
      <c r="T448" s="181"/>
      <c r="U448" s="181"/>
      <c r="V448" s="181"/>
      <c r="W448" s="181"/>
      <c r="X448" s="181"/>
      <c r="Y448" s="181"/>
      <c r="Z448" s="181"/>
      <c r="AA448" s="181"/>
      <c r="AB448" s="181"/>
      <c r="AC448" s="181"/>
      <c r="AD448" s="181"/>
      <c r="AE448" s="181"/>
      <c r="AF448" s="181"/>
      <c r="AG448" s="181"/>
      <c r="AH448" s="181"/>
      <c r="AI448" s="181"/>
      <c r="AJ448" s="181"/>
      <c r="AK448" s="181"/>
      <c r="AL448" s="181"/>
      <c r="AM448" s="181"/>
      <c r="AN448" s="181"/>
      <c r="AO448" s="181"/>
      <c r="AP448" s="181"/>
      <c r="AQ448" s="181"/>
      <c r="AR448" s="181"/>
      <c r="AS448" s="181"/>
      <c r="AT448" s="181"/>
      <c r="AU448" s="181"/>
      <c r="AV448" s="181"/>
      <c r="AW448" s="181"/>
      <c r="AX448" s="181"/>
      <c r="AY448" s="181"/>
      <c r="AZ448" s="181"/>
      <c r="BA448" s="181"/>
      <c r="BB448" s="181"/>
      <c r="BC448" s="173"/>
      <c r="BD448" s="173"/>
      <c r="BE448" s="173"/>
      <c r="BF448" s="173"/>
      <c r="BG448" s="173"/>
      <c r="BH448" s="173"/>
      <c r="BI448" s="173"/>
      <c r="BJ448" s="173"/>
      <c r="BK448" s="173"/>
      <c r="BL448" s="173"/>
      <c r="BM448" s="173"/>
    </row>
    <row r="449" spans="1:65">
      <c r="A449" s="181"/>
      <c r="B449" s="181"/>
      <c r="C449" s="181"/>
      <c r="D449" s="181"/>
      <c r="E449" s="181"/>
      <c r="F449" s="181"/>
      <c r="G449" s="181"/>
      <c r="H449" s="181"/>
      <c r="I449" s="181"/>
      <c r="J449" s="181"/>
      <c r="K449" s="254"/>
      <c r="L449" s="181"/>
      <c r="M449" s="181"/>
      <c r="N449" s="181"/>
      <c r="O449" s="181"/>
      <c r="P449" s="181"/>
      <c r="Q449" s="181"/>
      <c r="R449" s="181"/>
      <c r="S449" s="181"/>
      <c r="T449" s="181"/>
      <c r="U449" s="181"/>
      <c r="V449" s="181"/>
      <c r="W449" s="181"/>
      <c r="X449" s="181"/>
      <c r="Y449" s="181"/>
      <c r="Z449" s="181"/>
      <c r="AA449" s="181"/>
      <c r="AB449" s="181"/>
      <c r="AC449" s="181"/>
      <c r="AD449" s="181"/>
      <c r="AE449" s="181"/>
      <c r="AF449" s="181"/>
      <c r="AG449" s="181"/>
      <c r="AH449" s="181"/>
      <c r="AI449" s="181"/>
      <c r="AJ449" s="181"/>
      <c r="AK449" s="181"/>
      <c r="AL449" s="181"/>
      <c r="AM449" s="181"/>
      <c r="AN449" s="181"/>
      <c r="AO449" s="181"/>
      <c r="AP449" s="181"/>
      <c r="AQ449" s="181"/>
      <c r="AR449" s="181"/>
      <c r="AS449" s="181"/>
      <c r="AT449" s="181"/>
      <c r="AU449" s="181"/>
      <c r="AV449" s="181"/>
      <c r="AW449" s="181"/>
      <c r="AX449" s="181"/>
      <c r="AY449" s="181"/>
      <c r="AZ449" s="181"/>
      <c r="BA449" s="181"/>
      <c r="BB449" s="181"/>
      <c r="BC449" s="173"/>
      <c r="BD449" s="173"/>
      <c r="BE449" s="173"/>
      <c r="BF449" s="173"/>
      <c r="BG449" s="173"/>
      <c r="BH449" s="173"/>
      <c r="BI449" s="173"/>
      <c r="BJ449" s="173"/>
      <c r="BK449" s="173"/>
      <c r="BL449" s="173"/>
      <c r="BM449" s="173"/>
    </row>
    <row r="450" spans="1:65">
      <c r="A450" s="181"/>
      <c r="B450" s="181"/>
      <c r="C450" s="181"/>
      <c r="D450" s="181"/>
      <c r="E450" s="181"/>
      <c r="F450" s="181"/>
      <c r="G450" s="181"/>
      <c r="H450" s="181"/>
      <c r="I450" s="181"/>
      <c r="J450" s="181"/>
      <c r="K450" s="254"/>
      <c r="L450" s="181"/>
      <c r="M450" s="181"/>
      <c r="N450" s="181"/>
      <c r="O450" s="181"/>
      <c r="P450" s="181"/>
      <c r="Q450" s="181"/>
      <c r="R450" s="181"/>
      <c r="S450" s="181"/>
      <c r="T450" s="181"/>
      <c r="U450" s="181"/>
      <c r="V450" s="181"/>
      <c r="W450" s="181"/>
      <c r="X450" s="181"/>
      <c r="Y450" s="181"/>
      <c r="Z450" s="181"/>
      <c r="AA450" s="181"/>
      <c r="AB450" s="181"/>
      <c r="AC450" s="181"/>
      <c r="AD450" s="181"/>
      <c r="AE450" s="181"/>
      <c r="AF450" s="181"/>
      <c r="AG450" s="181"/>
      <c r="AH450" s="181"/>
      <c r="AI450" s="181"/>
      <c r="AJ450" s="181"/>
      <c r="AK450" s="181"/>
      <c r="AL450" s="181"/>
      <c r="AM450" s="181"/>
      <c r="AN450" s="181"/>
      <c r="AO450" s="181"/>
      <c r="AP450" s="181"/>
      <c r="AQ450" s="181"/>
      <c r="AR450" s="181"/>
      <c r="AS450" s="181"/>
      <c r="AT450" s="181"/>
      <c r="AU450" s="181"/>
      <c r="AV450" s="181"/>
      <c r="AW450" s="181"/>
      <c r="AX450" s="181"/>
      <c r="AY450" s="181"/>
      <c r="AZ450" s="181"/>
      <c r="BA450" s="181"/>
      <c r="BB450" s="181"/>
      <c r="BC450" s="173"/>
      <c r="BD450" s="173"/>
      <c r="BE450" s="173"/>
      <c r="BF450" s="173"/>
      <c r="BG450" s="173"/>
      <c r="BH450" s="173"/>
      <c r="BI450" s="173"/>
      <c r="BJ450" s="173"/>
      <c r="BK450" s="173"/>
      <c r="BL450" s="173"/>
      <c r="BM450" s="173"/>
    </row>
    <row r="451" spans="1:65">
      <c r="A451" s="181"/>
      <c r="B451" s="181"/>
      <c r="C451" s="181"/>
      <c r="D451" s="181"/>
      <c r="E451" s="181"/>
      <c r="F451" s="181"/>
      <c r="G451" s="181"/>
      <c r="H451" s="181"/>
      <c r="I451" s="181"/>
      <c r="J451" s="181"/>
      <c r="K451" s="254"/>
      <c r="L451" s="181"/>
      <c r="M451" s="181"/>
      <c r="N451" s="181"/>
      <c r="O451" s="181"/>
      <c r="P451" s="181"/>
      <c r="Q451" s="181"/>
      <c r="R451" s="181"/>
      <c r="S451" s="181"/>
      <c r="T451" s="181"/>
      <c r="U451" s="181"/>
      <c r="V451" s="181"/>
      <c r="W451" s="181"/>
      <c r="X451" s="181"/>
      <c r="Y451" s="181"/>
      <c r="Z451" s="181"/>
      <c r="AA451" s="181"/>
      <c r="AB451" s="181"/>
      <c r="AC451" s="181"/>
      <c r="AD451" s="181"/>
      <c r="AE451" s="181"/>
      <c r="AF451" s="181"/>
      <c r="AG451" s="181"/>
      <c r="AH451" s="181"/>
      <c r="AI451" s="181"/>
      <c r="AJ451" s="181"/>
      <c r="AK451" s="181"/>
      <c r="AL451" s="181"/>
      <c r="AM451" s="181"/>
      <c r="AN451" s="181"/>
      <c r="AO451" s="181"/>
      <c r="AP451" s="181"/>
      <c r="AQ451" s="181"/>
      <c r="AR451" s="181"/>
      <c r="AS451" s="181"/>
      <c r="AT451" s="181"/>
      <c r="AU451" s="181"/>
      <c r="AV451" s="181"/>
      <c r="AW451" s="181"/>
      <c r="AX451" s="181"/>
      <c r="AY451" s="181"/>
      <c r="AZ451" s="181"/>
      <c r="BA451" s="181"/>
      <c r="BB451" s="181"/>
      <c r="BC451" s="173"/>
      <c r="BD451" s="173"/>
      <c r="BE451" s="173"/>
      <c r="BF451" s="173"/>
      <c r="BG451" s="173"/>
      <c r="BH451" s="173"/>
      <c r="BI451" s="173"/>
      <c r="BJ451" s="173"/>
      <c r="BK451" s="173"/>
      <c r="BL451" s="173"/>
      <c r="BM451" s="173"/>
    </row>
    <row r="452" spans="1:65">
      <c r="A452" s="181"/>
      <c r="B452" s="181"/>
      <c r="C452" s="181"/>
      <c r="D452" s="181"/>
      <c r="E452" s="181"/>
      <c r="F452" s="181"/>
      <c r="G452" s="181"/>
      <c r="H452" s="181"/>
      <c r="I452" s="181"/>
      <c r="J452" s="181"/>
      <c r="K452" s="254"/>
      <c r="L452" s="181"/>
      <c r="M452" s="181"/>
      <c r="N452" s="181"/>
      <c r="O452" s="181"/>
      <c r="P452" s="181"/>
      <c r="Q452" s="181"/>
      <c r="R452" s="181"/>
      <c r="S452" s="181"/>
      <c r="T452" s="181"/>
      <c r="U452" s="181"/>
      <c r="V452" s="181"/>
      <c r="W452" s="181"/>
      <c r="X452" s="181"/>
      <c r="Y452" s="181"/>
      <c r="Z452" s="181"/>
      <c r="AA452" s="181"/>
      <c r="AB452" s="181"/>
      <c r="AC452" s="181"/>
      <c r="AD452" s="181"/>
      <c r="AE452" s="181"/>
      <c r="AF452" s="181"/>
      <c r="AG452" s="181"/>
      <c r="AH452" s="181"/>
      <c r="AI452" s="181"/>
      <c r="AJ452" s="181"/>
      <c r="AK452" s="181"/>
      <c r="AL452" s="181"/>
      <c r="AM452" s="181"/>
      <c r="AN452" s="181"/>
      <c r="AO452" s="181"/>
      <c r="AP452" s="181"/>
      <c r="AQ452" s="181"/>
      <c r="AR452" s="181"/>
      <c r="AS452" s="181"/>
      <c r="AT452" s="181"/>
      <c r="AU452" s="181"/>
      <c r="AV452" s="181"/>
      <c r="AW452" s="181"/>
      <c r="AX452" s="181"/>
      <c r="AY452" s="181"/>
      <c r="AZ452" s="181"/>
      <c r="BA452" s="181"/>
      <c r="BB452" s="181"/>
      <c r="BC452" s="173"/>
      <c r="BD452" s="173"/>
      <c r="BE452" s="173"/>
      <c r="BF452" s="173"/>
      <c r="BG452" s="173"/>
      <c r="BH452" s="173"/>
      <c r="BI452" s="173"/>
      <c r="BJ452" s="173"/>
      <c r="BK452" s="173"/>
      <c r="BL452" s="173"/>
      <c r="BM452" s="173"/>
    </row>
    <row r="453" spans="1:65">
      <c r="A453" s="181"/>
      <c r="B453" s="181"/>
      <c r="C453" s="181"/>
      <c r="D453" s="181"/>
      <c r="E453" s="181"/>
      <c r="F453" s="181"/>
      <c r="G453" s="181"/>
      <c r="H453" s="181"/>
      <c r="I453" s="181"/>
      <c r="J453" s="181"/>
      <c r="K453" s="254"/>
      <c r="L453" s="181"/>
      <c r="M453" s="181"/>
      <c r="N453" s="181"/>
      <c r="O453" s="181"/>
      <c r="P453" s="181"/>
      <c r="Q453" s="181"/>
      <c r="R453" s="181"/>
      <c r="S453" s="181"/>
      <c r="T453" s="181"/>
      <c r="U453" s="181"/>
      <c r="V453" s="181"/>
      <c r="W453" s="181"/>
      <c r="X453" s="181"/>
      <c r="Y453" s="181"/>
      <c r="Z453" s="181"/>
      <c r="AA453" s="181"/>
      <c r="AB453" s="181"/>
      <c r="AC453" s="181"/>
      <c r="AD453" s="181"/>
      <c r="AE453" s="181"/>
      <c r="AF453" s="181"/>
      <c r="AG453" s="181"/>
      <c r="AH453" s="181"/>
      <c r="AI453" s="181"/>
      <c r="AJ453" s="181"/>
      <c r="AK453" s="181"/>
      <c r="AL453" s="181"/>
      <c r="AM453" s="181"/>
      <c r="AN453" s="181"/>
      <c r="AO453" s="181"/>
      <c r="AP453" s="181"/>
      <c r="AQ453" s="181"/>
      <c r="AR453" s="181"/>
      <c r="AS453" s="181"/>
      <c r="AT453" s="181"/>
      <c r="AU453" s="181"/>
      <c r="AV453" s="181"/>
      <c r="AW453" s="181"/>
      <c r="AX453" s="181"/>
      <c r="AY453" s="181"/>
      <c r="AZ453" s="181"/>
      <c r="BA453" s="181"/>
      <c r="BB453" s="181"/>
      <c r="BC453" s="173"/>
      <c r="BD453" s="173"/>
      <c r="BE453" s="173"/>
      <c r="BF453" s="173"/>
      <c r="BG453" s="173"/>
      <c r="BH453" s="173"/>
      <c r="BI453" s="173"/>
      <c r="BJ453" s="173"/>
      <c r="BK453" s="173"/>
      <c r="BL453" s="173"/>
      <c r="BM453" s="173"/>
    </row>
    <row r="454" spans="1:65">
      <c r="A454" s="181"/>
      <c r="B454" s="181"/>
      <c r="C454" s="181"/>
      <c r="D454" s="181"/>
      <c r="E454" s="181"/>
      <c r="F454" s="181"/>
      <c r="G454" s="181"/>
      <c r="H454" s="181"/>
      <c r="I454" s="181"/>
      <c r="J454" s="181"/>
      <c r="K454" s="254"/>
      <c r="L454" s="181"/>
      <c r="M454" s="181"/>
      <c r="N454" s="181"/>
      <c r="O454" s="181"/>
      <c r="P454" s="181"/>
      <c r="Q454" s="181"/>
      <c r="R454" s="181"/>
      <c r="S454" s="181"/>
      <c r="T454" s="181"/>
      <c r="U454" s="181"/>
      <c r="V454" s="181"/>
      <c r="W454" s="181"/>
      <c r="X454" s="181"/>
      <c r="Y454" s="181"/>
      <c r="Z454" s="181"/>
      <c r="AA454" s="181"/>
      <c r="AB454" s="181"/>
      <c r="AC454" s="181"/>
      <c r="AD454" s="181"/>
      <c r="AE454" s="181"/>
      <c r="AF454" s="181"/>
      <c r="AG454" s="181"/>
      <c r="AH454" s="181"/>
      <c r="AI454" s="181"/>
      <c r="AJ454" s="181"/>
      <c r="AK454" s="181"/>
      <c r="AL454" s="181"/>
      <c r="AM454" s="181"/>
      <c r="AN454" s="181"/>
      <c r="AO454" s="181"/>
      <c r="AP454" s="181"/>
      <c r="AQ454" s="181"/>
      <c r="AR454" s="181"/>
      <c r="AS454" s="181"/>
      <c r="AT454" s="181"/>
      <c r="AU454" s="181"/>
      <c r="AV454" s="181"/>
      <c r="AW454" s="181"/>
      <c r="AX454" s="181"/>
      <c r="AY454" s="181"/>
      <c r="AZ454" s="181"/>
      <c r="BA454" s="181"/>
      <c r="BB454" s="181"/>
      <c r="BC454" s="173"/>
      <c r="BD454" s="173"/>
      <c r="BE454" s="173"/>
      <c r="BF454" s="173"/>
      <c r="BG454" s="173"/>
      <c r="BH454" s="173"/>
      <c r="BI454" s="173"/>
      <c r="BJ454" s="173"/>
      <c r="BK454" s="173"/>
      <c r="BL454" s="173"/>
      <c r="BM454" s="173"/>
    </row>
    <row r="455" spans="1:65">
      <c r="A455" s="181"/>
      <c r="B455" s="181"/>
      <c r="C455" s="181"/>
      <c r="D455" s="181"/>
      <c r="E455" s="181"/>
      <c r="F455" s="181"/>
      <c r="G455" s="181"/>
      <c r="H455" s="181"/>
      <c r="I455" s="181"/>
      <c r="J455" s="181"/>
      <c r="K455" s="254"/>
      <c r="L455" s="181"/>
      <c r="M455" s="181"/>
      <c r="N455" s="181"/>
      <c r="O455" s="181"/>
      <c r="P455" s="181"/>
      <c r="Q455" s="181"/>
      <c r="R455" s="181"/>
      <c r="S455" s="181"/>
      <c r="T455" s="181"/>
      <c r="U455" s="181"/>
      <c r="V455" s="181"/>
      <c r="W455" s="181"/>
      <c r="X455" s="181"/>
      <c r="Y455" s="181"/>
      <c r="Z455" s="181"/>
      <c r="AA455" s="181"/>
      <c r="AB455" s="181"/>
      <c r="AC455" s="181"/>
      <c r="AD455" s="181"/>
      <c r="AE455" s="181"/>
      <c r="AF455" s="181"/>
      <c r="AG455" s="181"/>
      <c r="AH455" s="181"/>
      <c r="AI455" s="181"/>
      <c r="AJ455" s="181"/>
      <c r="AK455" s="181"/>
      <c r="AL455" s="181"/>
      <c r="AM455" s="181"/>
      <c r="AN455" s="181"/>
      <c r="AO455" s="181"/>
      <c r="AP455" s="181"/>
      <c r="AQ455" s="181"/>
      <c r="AR455" s="181"/>
      <c r="AS455" s="181"/>
      <c r="AT455" s="181"/>
      <c r="AU455" s="181"/>
      <c r="AV455" s="181"/>
      <c r="AW455" s="181"/>
      <c r="AX455" s="181"/>
      <c r="AY455" s="181"/>
      <c r="AZ455" s="181"/>
      <c r="BA455" s="181"/>
      <c r="BB455" s="181"/>
      <c r="BC455" s="173"/>
      <c r="BD455" s="173"/>
      <c r="BE455" s="173"/>
      <c r="BF455" s="173"/>
      <c r="BG455" s="173"/>
      <c r="BH455" s="173"/>
      <c r="BI455" s="173"/>
      <c r="BJ455" s="173"/>
      <c r="BK455" s="173"/>
      <c r="BL455" s="173"/>
      <c r="BM455" s="173"/>
    </row>
    <row r="456" spans="1:65">
      <c r="A456" s="181"/>
      <c r="B456" s="181"/>
      <c r="C456" s="181"/>
      <c r="D456" s="181"/>
      <c r="E456" s="181"/>
      <c r="F456" s="181"/>
      <c r="G456" s="181"/>
      <c r="H456" s="181"/>
      <c r="I456" s="181"/>
      <c r="J456" s="181"/>
      <c r="K456" s="254"/>
      <c r="L456" s="181"/>
      <c r="M456" s="181"/>
      <c r="N456" s="181"/>
      <c r="O456" s="181"/>
      <c r="P456" s="181"/>
      <c r="Q456" s="181"/>
      <c r="R456" s="181"/>
      <c r="S456" s="181"/>
      <c r="T456" s="181"/>
      <c r="U456" s="181"/>
      <c r="V456" s="181"/>
      <c r="W456" s="181"/>
      <c r="X456" s="181"/>
      <c r="Y456" s="181"/>
      <c r="Z456" s="181"/>
      <c r="AA456" s="181"/>
      <c r="AB456" s="181"/>
      <c r="AC456" s="181"/>
      <c r="AD456" s="181"/>
      <c r="AE456" s="181"/>
      <c r="AF456" s="181"/>
      <c r="AG456" s="181"/>
      <c r="AH456" s="181"/>
      <c r="AI456" s="181"/>
      <c r="AJ456" s="181"/>
      <c r="AK456" s="181"/>
      <c r="AL456" s="181"/>
      <c r="AM456" s="181"/>
      <c r="AN456" s="181"/>
      <c r="AO456" s="181"/>
      <c r="AP456" s="181"/>
      <c r="AQ456" s="181"/>
      <c r="AR456" s="181"/>
      <c r="AS456" s="181"/>
      <c r="AT456" s="181"/>
      <c r="AU456" s="181"/>
      <c r="AV456" s="181"/>
      <c r="AW456" s="181"/>
      <c r="AX456" s="181"/>
      <c r="AY456" s="181"/>
      <c r="AZ456" s="181"/>
      <c r="BA456" s="181"/>
      <c r="BB456" s="181"/>
      <c r="BC456" s="173"/>
      <c r="BD456" s="173"/>
      <c r="BE456" s="173"/>
      <c r="BF456" s="173"/>
      <c r="BG456" s="173"/>
      <c r="BH456" s="173"/>
      <c r="BI456" s="173"/>
      <c r="BJ456" s="173"/>
      <c r="BK456" s="173"/>
      <c r="BL456" s="173"/>
      <c r="BM456" s="173"/>
    </row>
    <row r="457" spans="1:65">
      <c r="A457" s="181"/>
      <c r="B457" s="181"/>
      <c r="C457" s="181"/>
      <c r="D457" s="181"/>
      <c r="E457" s="181"/>
      <c r="F457" s="181"/>
      <c r="G457" s="181"/>
      <c r="H457" s="181"/>
      <c r="I457" s="181"/>
      <c r="J457" s="181"/>
      <c r="K457" s="254"/>
      <c r="L457" s="181"/>
      <c r="M457" s="181"/>
      <c r="N457" s="181"/>
      <c r="O457" s="181"/>
      <c r="P457" s="181"/>
      <c r="Q457" s="181"/>
      <c r="R457" s="181"/>
      <c r="S457" s="181"/>
      <c r="T457" s="181"/>
      <c r="U457" s="181"/>
      <c r="V457" s="181"/>
      <c r="W457" s="181"/>
      <c r="X457" s="181"/>
      <c r="Y457" s="181"/>
      <c r="Z457" s="181"/>
      <c r="AA457" s="181"/>
      <c r="AB457" s="181"/>
      <c r="AC457" s="181"/>
      <c r="AD457" s="181"/>
      <c r="AE457" s="181"/>
      <c r="AF457" s="181"/>
      <c r="AG457" s="181"/>
      <c r="AH457" s="181"/>
      <c r="AI457" s="181"/>
      <c r="AJ457" s="181"/>
      <c r="AK457" s="181"/>
      <c r="AL457" s="181"/>
      <c r="AM457" s="181"/>
      <c r="AN457" s="181"/>
      <c r="AO457" s="181"/>
      <c r="AP457" s="181"/>
      <c r="AQ457" s="181"/>
      <c r="AR457" s="181"/>
      <c r="AS457" s="181"/>
      <c r="AT457" s="181"/>
      <c r="AU457" s="181"/>
      <c r="AV457" s="181"/>
      <c r="AW457" s="181"/>
      <c r="AX457" s="181"/>
      <c r="AY457" s="181"/>
      <c r="AZ457" s="181"/>
      <c r="BA457" s="181"/>
      <c r="BB457" s="181"/>
      <c r="BC457" s="173"/>
      <c r="BD457" s="173"/>
      <c r="BE457" s="173"/>
      <c r="BF457" s="173"/>
      <c r="BG457" s="173"/>
      <c r="BH457" s="173"/>
      <c r="BI457" s="173"/>
      <c r="BJ457" s="173"/>
      <c r="BK457" s="173"/>
      <c r="BL457" s="173"/>
      <c r="BM457" s="173"/>
    </row>
    <row r="458" spans="1:65">
      <c r="A458" s="181"/>
      <c r="B458" s="181"/>
      <c r="C458" s="181"/>
      <c r="D458" s="181"/>
      <c r="E458" s="181"/>
      <c r="F458" s="181"/>
      <c r="G458" s="181"/>
      <c r="H458" s="181"/>
      <c r="I458" s="181"/>
      <c r="J458" s="181"/>
      <c r="K458" s="254"/>
      <c r="L458" s="181"/>
      <c r="M458" s="181"/>
      <c r="N458" s="181"/>
      <c r="O458" s="181"/>
      <c r="P458" s="181"/>
      <c r="Q458" s="181"/>
      <c r="R458" s="181"/>
      <c r="S458" s="181"/>
      <c r="T458" s="181"/>
      <c r="U458" s="181"/>
      <c r="V458" s="181"/>
      <c r="W458" s="181"/>
      <c r="X458" s="181"/>
      <c r="Y458" s="181"/>
      <c r="Z458" s="181"/>
      <c r="AA458" s="181"/>
      <c r="AB458" s="181"/>
      <c r="AC458" s="181"/>
      <c r="AD458" s="181"/>
      <c r="AE458" s="181"/>
      <c r="AF458" s="181"/>
      <c r="AG458" s="181"/>
      <c r="AH458" s="181"/>
      <c r="AI458" s="181"/>
      <c r="AJ458" s="181"/>
      <c r="AK458" s="181"/>
      <c r="AL458" s="181"/>
      <c r="AM458" s="181"/>
      <c r="AN458" s="181"/>
      <c r="AO458" s="181"/>
      <c r="AP458" s="181"/>
      <c r="AQ458" s="181"/>
      <c r="AR458" s="181"/>
      <c r="AS458" s="181"/>
      <c r="AT458" s="181"/>
      <c r="AU458" s="181"/>
      <c r="AV458" s="181"/>
      <c r="AW458" s="181"/>
      <c r="AX458" s="181"/>
      <c r="AY458" s="181"/>
      <c r="AZ458" s="181"/>
      <c r="BA458" s="181"/>
      <c r="BB458" s="181"/>
      <c r="BC458" s="173"/>
      <c r="BD458" s="173"/>
      <c r="BE458" s="173"/>
      <c r="BF458" s="173"/>
      <c r="BG458" s="173"/>
      <c r="BH458" s="173"/>
      <c r="BI458" s="173"/>
      <c r="BJ458" s="173"/>
      <c r="BK458" s="173"/>
      <c r="BL458" s="173"/>
      <c r="BM458" s="173"/>
    </row>
    <row r="459" spans="1:65">
      <c r="A459" s="181"/>
      <c r="B459" s="181"/>
      <c r="C459" s="181"/>
      <c r="D459" s="181"/>
      <c r="E459" s="181"/>
      <c r="F459" s="181"/>
      <c r="G459" s="181"/>
      <c r="H459" s="181"/>
      <c r="I459" s="181"/>
      <c r="J459" s="181"/>
      <c r="K459" s="254"/>
      <c r="L459" s="181"/>
      <c r="M459" s="181"/>
      <c r="N459" s="181"/>
      <c r="O459" s="181"/>
      <c r="P459" s="181"/>
      <c r="Q459" s="181"/>
      <c r="R459" s="181"/>
      <c r="S459" s="181"/>
      <c r="T459" s="181"/>
      <c r="U459" s="181"/>
      <c r="V459" s="181"/>
      <c r="W459" s="181"/>
      <c r="X459" s="181"/>
      <c r="Y459" s="181"/>
      <c r="Z459" s="181"/>
      <c r="AA459" s="181"/>
      <c r="AB459" s="181"/>
      <c r="AC459" s="181"/>
      <c r="AD459" s="181"/>
      <c r="AE459" s="181"/>
      <c r="AF459" s="181"/>
      <c r="AG459" s="181"/>
      <c r="AH459" s="181"/>
      <c r="AI459" s="181"/>
      <c r="AJ459" s="181"/>
      <c r="AK459" s="181"/>
      <c r="AL459" s="181"/>
      <c r="AM459" s="181"/>
      <c r="AN459" s="181"/>
      <c r="AO459" s="181"/>
      <c r="AP459" s="181"/>
      <c r="AQ459" s="181"/>
      <c r="AR459" s="181"/>
      <c r="AS459" s="181"/>
      <c r="AT459" s="181"/>
      <c r="AU459" s="181"/>
      <c r="AV459" s="181"/>
      <c r="AW459" s="181"/>
      <c r="AX459" s="181"/>
      <c r="AY459" s="181"/>
      <c r="AZ459" s="181"/>
      <c r="BA459" s="181"/>
      <c r="BB459" s="181"/>
      <c r="BC459" s="173"/>
      <c r="BD459" s="173"/>
      <c r="BE459" s="173"/>
      <c r="BF459" s="173"/>
      <c r="BG459" s="173"/>
      <c r="BH459" s="173"/>
      <c r="BI459" s="173"/>
      <c r="BJ459" s="173"/>
      <c r="BK459" s="173"/>
      <c r="BL459" s="173"/>
      <c r="BM459" s="173"/>
    </row>
    <row r="460" spans="1:65">
      <c r="A460" s="181"/>
      <c r="B460" s="181"/>
      <c r="C460" s="181"/>
      <c r="D460" s="181"/>
      <c r="E460" s="181"/>
      <c r="F460" s="181"/>
      <c r="G460" s="181"/>
      <c r="H460" s="181"/>
      <c r="I460" s="181"/>
      <c r="J460" s="181"/>
      <c r="K460" s="254"/>
      <c r="L460" s="181"/>
      <c r="M460" s="181"/>
      <c r="N460" s="181"/>
      <c r="O460" s="181"/>
      <c r="P460" s="181"/>
      <c r="Q460" s="181"/>
      <c r="R460" s="181"/>
      <c r="S460" s="181"/>
      <c r="T460" s="181"/>
      <c r="U460" s="181"/>
      <c r="V460" s="181"/>
      <c r="W460" s="181"/>
      <c r="X460" s="181"/>
      <c r="Y460" s="181"/>
      <c r="Z460" s="181"/>
      <c r="AA460" s="181"/>
      <c r="AB460" s="181"/>
      <c r="AC460" s="181"/>
      <c r="AD460" s="181"/>
      <c r="AE460" s="181"/>
      <c r="AF460" s="181"/>
      <c r="AG460" s="181"/>
      <c r="AH460" s="181"/>
      <c r="AI460" s="181"/>
      <c r="AJ460" s="181"/>
      <c r="AK460" s="181"/>
      <c r="AL460" s="181"/>
      <c r="AM460" s="181"/>
      <c r="AN460" s="181"/>
      <c r="AO460" s="181"/>
      <c r="AP460" s="181"/>
      <c r="AQ460" s="181"/>
      <c r="AR460" s="181"/>
      <c r="AS460" s="181"/>
      <c r="AT460" s="181"/>
      <c r="AU460" s="181"/>
      <c r="AV460" s="181"/>
      <c r="AW460" s="181"/>
      <c r="AX460" s="181"/>
      <c r="AY460" s="181"/>
      <c r="AZ460" s="181"/>
      <c r="BA460" s="181"/>
      <c r="BB460" s="181"/>
      <c r="BC460" s="173"/>
      <c r="BD460" s="173"/>
      <c r="BE460" s="173"/>
      <c r="BF460" s="173"/>
      <c r="BG460" s="173"/>
      <c r="BH460" s="173"/>
      <c r="BI460" s="173"/>
      <c r="BJ460" s="173"/>
      <c r="BK460" s="173"/>
      <c r="BL460" s="173"/>
      <c r="BM460" s="173"/>
    </row>
    <row r="461" spans="1:65">
      <c r="A461" s="181"/>
      <c r="B461" s="181"/>
      <c r="C461" s="181"/>
      <c r="D461" s="181"/>
      <c r="E461" s="181"/>
      <c r="F461" s="181"/>
      <c r="G461" s="181"/>
      <c r="H461" s="181"/>
      <c r="I461" s="181"/>
      <c r="J461" s="181"/>
      <c r="K461" s="254"/>
      <c r="L461" s="181"/>
      <c r="M461" s="181"/>
      <c r="N461" s="181"/>
      <c r="O461" s="181"/>
      <c r="P461" s="181"/>
      <c r="Q461" s="181"/>
      <c r="R461" s="181"/>
      <c r="S461" s="181"/>
      <c r="T461" s="181"/>
      <c r="U461" s="181"/>
      <c r="V461" s="181"/>
      <c r="W461" s="181"/>
      <c r="X461" s="181"/>
      <c r="Y461" s="181"/>
      <c r="Z461" s="181"/>
      <c r="AA461" s="181"/>
      <c r="AB461" s="181"/>
      <c r="AC461" s="181"/>
      <c r="AD461" s="181"/>
      <c r="AE461" s="181"/>
      <c r="AF461" s="181"/>
      <c r="AG461" s="181"/>
      <c r="AH461" s="181"/>
      <c r="AI461" s="181"/>
      <c r="AJ461" s="181"/>
      <c r="AK461" s="181"/>
      <c r="AL461" s="181"/>
      <c r="AM461" s="181"/>
      <c r="AN461" s="181"/>
      <c r="AO461" s="181"/>
      <c r="AP461" s="181"/>
      <c r="AQ461" s="181"/>
      <c r="AR461" s="181"/>
      <c r="AS461" s="181"/>
      <c r="AT461" s="181"/>
      <c r="AU461" s="181"/>
      <c r="AV461" s="181"/>
      <c r="AW461" s="181"/>
      <c r="AX461" s="181"/>
      <c r="AY461" s="181"/>
      <c r="AZ461" s="181"/>
      <c r="BA461" s="181"/>
      <c r="BB461" s="181"/>
      <c r="BC461" s="173"/>
      <c r="BD461" s="173"/>
      <c r="BE461" s="173"/>
      <c r="BF461" s="173"/>
      <c r="BG461" s="173"/>
      <c r="BH461" s="173"/>
      <c r="BI461" s="173"/>
      <c r="BJ461" s="173"/>
      <c r="BK461" s="173"/>
      <c r="BL461" s="173"/>
      <c r="BM461" s="173"/>
    </row>
    <row r="462" spans="1:65">
      <c r="A462" s="181"/>
      <c r="B462" s="181"/>
      <c r="C462" s="181"/>
      <c r="D462" s="181"/>
      <c r="E462" s="181"/>
      <c r="F462" s="181"/>
      <c r="G462" s="181"/>
      <c r="H462" s="181"/>
      <c r="I462" s="181"/>
      <c r="J462" s="181"/>
      <c r="K462" s="254"/>
      <c r="L462" s="181"/>
      <c r="M462" s="181"/>
      <c r="N462" s="181"/>
      <c r="O462" s="181"/>
      <c r="P462" s="181"/>
      <c r="Q462" s="181"/>
      <c r="R462" s="181"/>
      <c r="S462" s="181"/>
      <c r="T462" s="181"/>
      <c r="U462" s="181"/>
      <c r="V462" s="181"/>
      <c r="W462" s="181"/>
      <c r="X462" s="181"/>
      <c r="Y462" s="181"/>
      <c r="Z462" s="181"/>
      <c r="AA462" s="181"/>
      <c r="AB462" s="181"/>
      <c r="AC462" s="181"/>
      <c r="AD462" s="181"/>
      <c r="AE462" s="181"/>
      <c r="AF462" s="181"/>
      <c r="AG462" s="181"/>
      <c r="AH462" s="181"/>
      <c r="AI462" s="181"/>
      <c r="AJ462" s="181"/>
      <c r="AK462" s="181"/>
      <c r="AL462" s="181"/>
      <c r="AM462" s="181"/>
      <c r="AN462" s="181"/>
      <c r="AO462" s="181"/>
      <c r="AP462" s="181"/>
      <c r="AQ462" s="181"/>
      <c r="AR462" s="181"/>
      <c r="AS462" s="181"/>
      <c r="AT462" s="181"/>
      <c r="AU462" s="181"/>
      <c r="AV462" s="181"/>
      <c r="AW462" s="181"/>
      <c r="AX462" s="181"/>
      <c r="AY462" s="181"/>
      <c r="AZ462" s="181"/>
      <c r="BA462" s="181"/>
      <c r="BB462" s="181"/>
      <c r="BC462" s="173"/>
      <c r="BD462" s="173"/>
      <c r="BE462" s="173"/>
      <c r="BF462" s="173"/>
      <c r="BG462" s="173"/>
      <c r="BH462" s="173"/>
      <c r="BI462" s="173"/>
      <c r="BJ462" s="173"/>
      <c r="BK462" s="173"/>
      <c r="BL462" s="173"/>
      <c r="BM462" s="173"/>
    </row>
    <row r="463" spans="1:65">
      <c r="A463" s="181"/>
      <c r="B463" s="181"/>
      <c r="C463" s="181"/>
      <c r="D463" s="181"/>
      <c r="E463" s="181"/>
      <c r="F463" s="181"/>
      <c r="G463" s="181"/>
      <c r="H463" s="181"/>
      <c r="I463" s="181"/>
      <c r="J463" s="181"/>
      <c r="K463" s="254"/>
      <c r="L463" s="181"/>
      <c r="M463" s="181"/>
      <c r="N463" s="181"/>
      <c r="O463" s="181"/>
      <c r="P463" s="181"/>
      <c r="Q463" s="181"/>
      <c r="R463" s="181"/>
      <c r="S463" s="181"/>
      <c r="T463" s="181"/>
      <c r="U463" s="181"/>
      <c r="V463" s="181"/>
      <c r="W463" s="181"/>
      <c r="X463" s="181"/>
      <c r="Y463" s="181"/>
      <c r="Z463" s="181"/>
      <c r="AA463" s="181"/>
      <c r="AB463" s="181"/>
      <c r="AC463" s="181"/>
      <c r="AD463" s="181"/>
      <c r="AE463" s="181"/>
      <c r="AF463" s="181"/>
      <c r="AG463" s="181"/>
      <c r="AH463" s="181"/>
      <c r="AI463" s="181"/>
      <c r="AJ463" s="181"/>
      <c r="AK463" s="181"/>
      <c r="AL463" s="181"/>
      <c r="AM463" s="181"/>
      <c r="AN463" s="181"/>
      <c r="AO463" s="181"/>
      <c r="AP463" s="181"/>
      <c r="AQ463" s="181"/>
      <c r="AR463" s="181"/>
      <c r="AS463" s="181"/>
      <c r="AT463" s="181"/>
      <c r="AU463" s="181"/>
      <c r="AV463" s="181"/>
      <c r="AW463" s="181"/>
      <c r="AX463" s="181"/>
      <c r="AY463" s="181"/>
      <c r="AZ463" s="181"/>
      <c r="BA463" s="181"/>
      <c r="BB463" s="181"/>
      <c r="BC463" s="173"/>
      <c r="BD463" s="173"/>
      <c r="BE463" s="173"/>
      <c r="BF463" s="173"/>
      <c r="BG463" s="173"/>
      <c r="BH463" s="173"/>
      <c r="BI463" s="173"/>
      <c r="BJ463" s="173"/>
      <c r="BK463" s="173"/>
      <c r="BL463" s="173"/>
      <c r="BM463" s="173"/>
    </row>
    <row r="464" spans="1:65">
      <c r="A464" s="181"/>
      <c r="B464" s="181"/>
      <c r="C464" s="181"/>
      <c r="D464" s="181"/>
      <c r="E464" s="181"/>
      <c r="F464" s="181"/>
      <c r="G464" s="181"/>
      <c r="H464" s="181"/>
      <c r="I464" s="181"/>
      <c r="J464" s="181"/>
      <c r="K464" s="254"/>
      <c r="L464" s="181"/>
      <c r="M464" s="181"/>
      <c r="N464" s="181"/>
      <c r="O464" s="181"/>
      <c r="P464" s="181"/>
      <c r="Q464" s="181"/>
      <c r="R464" s="181"/>
      <c r="S464" s="181"/>
      <c r="T464" s="181"/>
      <c r="U464" s="181"/>
      <c r="V464" s="181"/>
      <c r="W464" s="181"/>
      <c r="X464" s="181"/>
      <c r="Y464" s="181"/>
      <c r="Z464" s="181"/>
      <c r="AA464" s="181"/>
      <c r="AB464" s="181"/>
      <c r="AC464" s="181"/>
      <c r="AD464" s="181"/>
      <c r="AE464" s="181"/>
      <c r="AF464" s="181"/>
      <c r="AG464" s="181"/>
      <c r="AH464" s="181"/>
      <c r="AI464" s="181"/>
      <c r="AJ464" s="181"/>
      <c r="AK464" s="181"/>
      <c r="AL464" s="181"/>
      <c r="AM464" s="181"/>
      <c r="AN464" s="181"/>
      <c r="AO464" s="181"/>
      <c r="AP464" s="181"/>
      <c r="AQ464" s="181"/>
      <c r="AR464" s="181"/>
      <c r="AS464" s="181"/>
      <c r="AT464" s="181"/>
      <c r="AU464" s="181"/>
      <c r="AV464" s="181"/>
      <c r="AW464" s="181"/>
      <c r="AX464" s="181"/>
      <c r="AY464" s="181"/>
      <c r="AZ464" s="181"/>
      <c r="BA464" s="181"/>
      <c r="BB464" s="181"/>
      <c r="BC464" s="173"/>
      <c r="BD464" s="173"/>
      <c r="BE464" s="173"/>
      <c r="BF464" s="173"/>
      <c r="BG464" s="173"/>
      <c r="BH464" s="173"/>
      <c r="BI464" s="173"/>
      <c r="BJ464" s="173"/>
      <c r="BK464" s="173"/>
      <c r="BL464" s="173"/>
      <c r="BM464" s="173"/>
    </row>
    <row r="465" spans="1:65">
      <c r="A465" s="181"/>
      <c r="B465" s="181"/>
      <c r="C465" s="181"/>
      <c r="D465" s="181"/>
      <c r="E465" s="181"/>
      <c r="F465" s="181"/>
      <c r="G465" s="181"/>
      <c r="H465" s="181"/>
      <c r="I465" s="181"/>
      <c r="J465" s="181"/>
      <c r="K465" s="254"/>
      <c r="L465" s="181"/>
      <c r="M465" s="181"/>
      <c r="N465" s="181"/>
      <c r="O465" s="181"/>
      <c r="P465" s="181"/>
      <c r="Q465" s="181"/>
      <c r="R465" s="181"/>
      <c r="S465" s="181"/>
      <c r="T465" s="181"/>
      <c r="U465" s="181"/>
      <c r="V465" s="181"/>
      <c r="W465" s="181"/>
      <c r="X465" s="181"/>
      <c r="Y465" s="181"/>
      <c r="Z465" s="181"/>
      <c r="AA465" s="181"/>
      <c r="AB465" s="181"/>
      <c r="AC465" s="181"/>
      <c r="AD465" s="181"/>
      <c r="AE465" s="181"/>
      <c r="AF465" s="181"/>
      <c r="AG465" s="181"/>
      <c r="AH465" s="181"/>
      <c r="AI465" s="181"/>
      <c r="AJ465" s="181"/>
      <c r="AK465" s="181"/>
      <c r="AL465" s="181"/>
      <c r="AM465" s="181"/>
      <c r="AN465" s="181"/>
      <c r="AO465" s="181"/>
      <c r="AP465" s="181"/>
      <c r="AQ465" s="181"/>
      <c r="AR465" s="181"/>
      <c r="AS465" s="181"/>
      <c r="AT465" s="181"/>
      <c r="AU465" s="181"/>
      <c r="AV465" s="181"/>
      <c r="AW465" s="181"/>
      <c r="AX465" s="181"/>
      <c r="AY465" s="181"/>
      <c r="AZ465" s="181"/>
      <c r="BA465" s="181"/>
      <c r="BB465" s="181"/>
      <c r="BC465" s="173"/>
      <c r="BD465" s="173"/>
      <c r="BE465" s="173"/>
      <c r="BF465" s="173"/>
      <c r="BG465" s="173"/>
      <c r="BH465" s="173"/>
      <c r="BI465" s="173"/>
      <c r="BJ465" s="173"/>
      <c r="BK465" s="173"/>
      <c r="BL465" s="173"/>
      <c r="BM465" s="173"/>
    </row>
    <row r="466" spans="1:65">
      <c r="A466" s="181"/>
      <c r="B466" s="181"/>
      <c r="C466" s="181"/>
      <c r="D466" s="181"/>
      <c r="E466" s="181"/>
      <c r="F466" s="181"/>
      <c r="G466" s="181"/>
      <c r="H466" s="181"/>
      <c r="I466" s="181"/>
      <c r="J466" s="181"/>
      <c r="K466" s="254"/>
      <c r="L466" s="181"/>
      <c r="M466" s="181"/>
      <c r="N466" s="181"/>
      <c r="O466" s="181"/>
      <c r="P466" s="181"/>
      <c r="Q466" s="181"/>
      <c r="R466" s="181"/>
      <c r="S466" s="181"/>
      <c r="T466" s="181"/>
      <c r="U466" s="181"/>
      <c r="V466" s="181"/>
      <c r="W466" s="181"/>
      <c r="X466" s="181"/>
      <c r="Y466" s="181"/>
      <c r="Z466" s="181"/>
      <c r="AA466" s="181"/>
      <c r="AB466" s="181"/>
      <c r="AC466" s="181"/>
      <c r="AD466" s="181"/>
      <c r="AE466" s="181"/>
      <c r="AF466" s="181"/>
      <c r="AG466" s="181"/>
      <c r="AH466" s="181"/>
      <c r="AI466" s="181"/>
      <c r="AJ466" s="181"/>
      <c r="AK466" s="181"/>
      <c r="AL466" s="181"/>
      <c r="AM466" s="181"/>
      <c r="AN466" s="181"/>
      <c r="AO466" s="181"/>
      <c r="AP466" s="181"/>
      <c r="AQ466" s="181"/>
      <c r="AR466" s="181"/>
      <c r="AS466" s="181"/>
      <c r="AT466" s="181"/>
      <c r="AU466" s="181"/>
      <c r="AV466" s="181"/>
      <c r="AW466" s="181"/>
      <c r="AX466" s="181"/>
      <c r="AY466" s="181"/>
      <c r="AZ466" s="181"/>
      <c r="BA466" s="181"/>
      <c r="BB466" s="181"/>
      <c r="BC466" s="173"/>
      <c r="BD466" s="173"/>
      <c r="BE466" s="173"/>
      <c r="BF466" s="173"/>
      <c r="BG466" s="173"/>
      <c r="BH466" s="173"/>
      <c r="BI466" s="173"/>
      <c r="BJ466" s="173"/>
      <c r="BK466" s="173"/>
      <c r="BL466" s="173"/>
      <c r="BM466" s="173"/>
    </row>
    <row r="467" spans="1:65">
      <c r="A467" s="181"/>
      <c r="B467" s="181"/>
      <c r="C467" s="181"/>
      <c r="D467" s="181"/>
      <c r="E467" s="181"/>
      <c r="F467" s="181"/>
      <c r="G467" s="181"/>
      <c r="H467" s="181"/>
      <c r="I467" s="181"/>
      <c r="J467" s="181"/>
      <c r="K467" s="254"/>
      <c r="L467" s="181"/>
      <c r="M467" s="181"/>
      <c r="N467" s="181"/>
      <c r="O467" s="181"/>
      <c r="P467" s="181"/>
      <c r="Q467" s="181"/>
      <c r="R467" s="181"/>
      <c r="S467" s="181"/>
      <c r="T467" s="181"/>
      <c r="U467" s="181"/>
      <c r="V467" s="181"/>
      <c r="W467" s="181"/>
      <c r="X467" s="181"/>
      <c r="Y467" s="181"/>
      <c r="Z467" s="181"/>
      <c r="AA467" s="181"/>
      <c r="AB467" s="181"/>
      <c r="AC467" s="181"/>
      <c r="AD467" s="181"/>
      <c r="AE467" s="181"/>
      <c r="AF467" s="181"/>
      <c r="AG467" s="181"/>
      <c r="AH467" s="181"/>
      <c r="AI467" s="181"/>
      <c r="AJ467" s="181"/>
      <c r="AK467" s="181"/>
      <c r="AL467" s="181"/>
      <c r="AM467" s="181"/>
      <c r="AN467" s="181"/>
      <c r="AO467" s="181"/>
      <c r="AP467" s="181"/>
      <c r="AQ467" s="181"/>
      <c r="AR467" s="181"/>
      <c r="AS467" s="181"/>
      <c r="AT467" s="181"/>
      <c r="AU467" s="181"/>
      <c r="AV467" s="181"/>
      <c r="AW467" s="181"/>
      <c r="AX467" s="181"/>
      <c r="AY467" s="181"/>
      <c r="AZ467" s="181"/>
      <c r="BA467" s="181"/>
      <c r="BB467" s="181"/>
      <c r="BC467" s="173"/>
      <c r="BD467" s="173"/>
      <c r="BE467" s="173"/>
      <c r="BF467" s="173"/>
      <c r="BG467" s="173"/>
      <c r="BH467" s="173"/>
      <c r="BI467" s="173"/>
      <c r="BJ467" s="173"/>
      <c r="BK467" s="173"/>
      <c r="BL467" s="173"/>
      <c r="BM467" s="173"/>
    </row>
    <row r="468" spans="1:65">
      <c r="A468" s="181"/>
      <c r="B468" s="181"/>
      <c r="C468" s="181"/>
      <c r="D468" s="181"/>
      <c r="E468" s="181"/>
      <c r="F468" s="181"/>
      <c r="G468" s="181"/>
      <c r="H468" s="181"/>
      <c r="I468" s="181"/>
      <c r="J468" s="181"/>
      <c r="K468" s="254"/>
      <c r="L468" s="181"/>
      <c r="M468" s="181"/>
      <c r="N468" s="181"/>
      <c r="O468" s="181"/>
      <c r="P468" s="181"/>
      <c r="Q468" s="181"/>
      <c r="R468" s="181"/>
      <c r="S468" s="181"/>
      <c r="T468" s="181"/>
      <c r="U468" s="181"/>
      <c r="V468" s="181"/>
      <c r="W468" s="181"/>
      <c r="X468" s="181"/>
      <c r="Y468" s="181"/>
      <c r="Z468" s="181"/>
      <c r="AA468" s="181"/>
      <c r="AB468" s="181"/>
      <c r="AC468" s="181"/>
      <c r="AD468" s="181"/>
      <c r="AE468" s="181"/>
      <c r="AF468" s="181"/>
      <c r="AG468" s="181"/>
      <c r="AH468" s="181"/>
      <c r="AI468" s="181"/>
      <c r="AJ468" s="181"/>
      <c r="AK468" s="181"/>
      <c r="AL468" s="181"/>
      <c r="AM468" s="181"/>
      <c r="AN468" s="181"/>
      <c r="AO468" s="181"/>
      <c r="AP468" s="181"/>
      <c r="AQ468" s="181"/>
      <c r="AR468" s="181"/>
      <c r="AS468" s="181"/>
      <c r="AT468" s="181"/>
      <c r="AU468" s="181"/>
      <c r="AV468" s="181"/>
      <c r="AW468" s="181"/>
      <c r="AX468" s="181"/>
      <c r="AY468" s="181"/>
      <c r="AZ468" s="181"/>
      <c r="BA468" s="181"/>
      <c r="BB468" s="181"/>
      <c r="BC468" s="173"/>
      <c r="BD468" s="173"/>
      <c r="BE468" s="173"/>
      <c r="BF468" s="173"/>
      <c r="BG468" s="173"/>
      <c r="BH468" s="173"/>
      <c r="BI468" s="173"/>
      <c r="BJ468" s="173"/>
      <c r="BK468" s="173"/>
      <c r="BL468" s="173"/>
      <c r="BM468" s="173"/>
    </row>
    <row r="469" spans="1:65">
      <c r="A469" s="181"/>
      <c r="B469" s="181"/>
      <c r="C469" s="181"/>
      <c r="D469" s="181"/>
      <c r="E469" s="181"/>
      <c r="F469" s="181"/>
      <c r="G469" s="181"/>
      <c r="H469" s="181"/>
      <c r="I469" s="181"/>
      <c r="J469" s="181"/>
      <c r="K469" s="254"/>
      <c r="L469" s="181"/>
      <c r="M469" s="181"/>
      <c r="N469" s="181"/>
      <c r="O469" s="181"/>
      <c r="P469" s="181"/>
      <c r="Q469" s="181"/>
      <c r="R469" s="181"/>
      <c r="S469" s="181"/>
      <c r="T469" s="181"/>
      <c r="U469" s="181"/>
      <c r="V469" s="181"/>
      <c r="W469" s="181"/>
      <c r="X469" s="181"/>
      <c r="Y469" s="181"/>
      <c r="Z469" s="181"/>
      <c r="AA469" s="181"/>
      <c r="AB469" s="181"/>
      <c r="AC469" s="181"/>
      <c r="AD469" s="181"/>
      <c r="AE469" s="181"/>
      <c r="AF469" s="181"/>
      <c r="AG469" s="181"/>
      <c r="AH469" s="181"/>
      <c r="AI469" s="181"/>
      <c r="AJ469" s="181"/>
      <c r="AK469" s="181"/>
      <c r="AL469" s="181"/>
      <c r="AM469" s="181"/>
      <c r="AN469" s="181"/>
      <c r="AO469" s="181"/>
      <c r="AP469" s="181"/>
      <c r="AQ469" s="181"/>
      <c r="AR469" s="181"/>
      <c r="AS469" s="181"/>
      <c r="AT469" s="181"/>
      <c r="AU469" s="181"/>
      <c r="AV469" s="181"/>
      <c r="AW469" s="181"/>
      <c r="AX469" s="181"/>
      <c r="AY469" s="181"/>
      <c r="AZ469" s="181"/>
      <c r="BA469" s="181"/>
      <c r="BB469" s="181"/>
      <c r="BC469" s="173"/>
      <c r="BD469" s="173"/>
      <c r="BE469" s="173"/>
      <c r="BF469" s="173"/>
      <c r="BG469" s="173"/>
      <c r="BH469" s="173"/>
      <c r="BI469" s="173"/>
      <c r="BJ469" s="173"/>
      <c r="BK469" s="173"/>
      <c r="BL469" s="173"/>
      <c r="BM469" s="173"/>
    </row>
    <row r="470" spans="1:65">
      <c r="A470" s="181"/>
      <c r="B470" s="181"/>
      <c r="C470" s="181"/>
      <c r="D470" s="181"/>
      <c r="E470" s="181"/>
      <c r="F470" s="181"/>
      <c r="G470" s="181"/>
      <c r="H470" s="181"/>
      <c r="I470" s="181"/>
      <c r="J470" s="181"/>
      <c r="K470" s="254"/>
      <c r="L470" s="181"/>
      <c r="M470" s="181"/>
      <c r="N470" s="181"/>
      <c r="O470" s="181"/>
      <c r="P470" s="181"/>
      <c r="Q470" s="181"/>
      <c r="R470" s="181"/>
      <c r="S470" s="181"/>
      <c r="T470" s="181"/>
      <c r="U470" s="181"/>
      <c r="V470" s="181"/>
      <c r="W470" s="181"/>
      <c r="X470" s="181"/>
      <c r="Y470" s="181"/>
      <c r="Z470" s="181"/>
      <c r="AA470" s="181"/>
      <c r="AB470" s="181"/>
      <c r="AC470" s="181"/>
      <c r="AD470" s="181"/>
      <c r="AE470" s="181"/>
      <c r="AF470" s="181"/>
      <c r="AG470" s="181"/>
      <c r="AH470" s="181"/>
      <c r="AI470" s="181"/>
      <c r="AJ470" s="181"/>
      <c r="AK470" s="181"/>
      <c r="AL470" s="181"/>
      <c r="AM470" s="181"/>
      <c r="AN470" s="181"/>
      <c r="AO470" s="181"/>
      <c r="AP470" s="181"/>
      <c r="AQ470" s="181"/>
      <c r="AR470" s="181"/>
      <c r="AS470" s="181"/>
      <c r="AT470" s="181"/>
      <c r="AU470" s="181"/>
      <c r="AV470" s="181"/>
      <c r="AW470" s="181"/>
      <c r="AX470" s="181"/>
      <c r="AY470" s="181"/>
      <c r="AZ470" s="181"/>
      <c r="BA470" s="181"/>
      <c r="BB470" s="181"/>
      <c r="BC470" s="173"/>
      <c r="BD470" s="173"/>
      <c r="BE470" s="173"/>
      <c r="BF470" s="173"/>
      <c r="BG470" s="173"/>
      <c r="BH470" s="173"/>
      <c r="BI470" s="173"/>
      <c r="BJ470" s="173"/>
      <c r="BK470" s="173"/>
      <c r="BL470" s="173"/>
      <c r="BM470" s="173"/>
    </row>
    <row r="471" spans="1:65">
      <c r="A471" s="181"/>
      <c r="B471" s="181"/>
      <c r="C471" s="181"/>
      <c r="D471" s="181"/>
      <c r="E471" s="181"/>
      <c r="F471" s="181"/>
      <c r="G471" s="181"/>
      <c r="H471" s="181"/>
      <c r="I471" s="181"/>
      <c r="J471" s="181"/>
      <c r="K471" s="254"/>
      <c r="L471" s="181"/>
      <c r="M471" s="181"/>
      <c r="N471" s="181"/>
      <c r="O471" s="181"/>
      <c r="P471" s="181"/>
      <c r="Q471" s="181"/>
      <c r="R471" s="181"/>
      <c r="S471" s="181"/>
      <c r="T471" s="181"/>
      <c r="U471" s="181"/>
      <c r="V471" s="181"/>
      <c r="W471" s="181"/>
      <c r="X471" s="181"/>
      <c r="Y471" s="181"/>
      <c r="Z471" s="181"/>
      <c r="AA471" s="181"/>
      <c r="AB471" s="181"/>
      <c r="AC471" s="181"/>
      <c r="AD471" s="181"/>
      <c r="AE471" s="181"/>
      <c r="AF471" s="181"/>
      <c r="AG471" s="181"/>
      <c r="AH471" s="181"/>
      <c r="AI471" s="181"/>
      <c r="AJ471" s="181"/>
      <c r="AK471" s="181"/>
      <c r="AL471" s="181"/>
      <c r="AM471" s="181"/>
      <c r="AN471" s="181"/>
      <c r="AO471" s="181"/>
      <c r="AP471" s="181"/>
      <c r="AQ471" s="181"/>
      <c r="AR471" s="181"/>
      <c r="AS471" s="181"/>
      <c r="AT471" s="181"/>
      <c r="AU471" s="181"/>
      <c r="AV471" s="181"/>
      <c r="AW471" s="181"/>
      <c r="AX471" s="181"/>
      <c r="AY471" s="181"/>
      <c r="AZ471" s="181"/>
      <c r="BA471" s="181"/>
      <c r="BB471" s="181"/>
      <c r="BC471" s="173"/>
      <c r="BD471" s="173"/>
      <c r="BE471" s="173"/>
      <c r="BF471" s="173"/>
      <c r="BG471" s="173"/>
      <c r="BH471" s="173"/>
      <c r="BI471" s="173"/>
      <c r="BJ471" s="173"/>
      <c r="BK471" s="173"/>
      <c r="BL471" s="173"/>
      <c r="BM471" s="173"/>
    </row>
    <row r="472" spans="1:65">
      <c r="A472" s="181"/>
      <c r="B472" s="181"/>
      <c r="C472" s="181"/>
      <c r="D472" s="181"/>
      <c r="E472" s="181"/>
      <c r="F472" s="181"/>
      <c r="G472" s="181"/>
      <c r="H472" s="181"/>
      <c r="I472" s="181"/>
      <c r="J472" s="181"/>
      <c r="K472" s="254"/>
      <c r="L472" s="181"/>
      <c r="M472" s="181"/>
      <c r="N472" s="181"/>
      <c r="O472" s="181"/>
      <c r="P472" s="181"/>
      <c r="Q472" s="181"/>
      <c r="R472" s="181"/>
      <c r="S472" s="181"/>
      <c r="T472" s="181"/>
      <c r="U472" s="181"/>
      <c r="V472" s="181"/>
      <c r="W472" s="181"/>
      <c r="X472" s="181"/>
      <c r="Y472" s="181"/>
      <c r="Z472" s="181"/>
      <c r="AA472" s="181"/>
      <c r="AB472" s="181"/>
      <c r="AC472" s="181"/>
      <c r="AD472" s="181"/>
      <c r="AE472" s="181"/>
      <c r="AF472" s="181"/>
      <c r="AG472" s="181"/>
      <c r="AH472" s="181"/>
      <c r="AI472" s="181"/>
      <c r="AJ472" s="181"/>
      <c r="AK472" s="181"/>
      <c r="AL472" s="181"/>
      <c r="AM472" s="181"/>
      <c r="AN472" s="181"/>
      <c r="AO472" s="181"/>
      <c r="AP472" s="181"/>
      <c r="AQ472" s="181"/>
      <c r="AR472" s="181"/>
      <c r="AS472" s="181"/>
      <c r="AT472" s="181"/>
      <c r="AU472" s="181"/>
      <c r="AV472" s="181"/>
      <c r="AW472" s="181"/>
      <c r="AX472" s="181"/>
      <c r="AY472" s="181"/>
      <c r="AZ472" s="181"/>
      <c r="BA472" s="181"/>
      <c r="BB472" s="181"/>
      <c r="BC472" s="173"/>
      <c r="BD472" s="173"/>
      <c r="BE472" s="173"/>
      <c r="BF472" s="173"/>
      <c r="BG472" s="173"/>
      <c r="BH472" s="173"/>
      <c r="BI472" s="173"/>
      <c r="BJ472" s="173"/>
      <c r="BK472" s="173"/>
      <c r="BL472" s="173"/>
      <c r="BM472" s="173"/>
    </row>
    <row r="473" spans="1:65">
      <c r="A473" s="181"/>
      <c r="B473" s="181"/>
      <c r="C473" s="181"/>
      <c r="D473" s="181"/>
      <c r="E473" s="181"/>
      <c r="F473" s="181"/>
      <c r="G473" s="181"/>
      <c r="H473" s="181"/>
      <c r="I473" s="181"/>
      <c r="J473" s="181"/>
      <c r="K473" s="254"/>
      <c r="L473" s="181"/>
      <c r="M473" s="181"/>
      <c r="N473" s="181"/>
      <c r="O473" s="181"/>
      <c r="P473" s="181"/>
      <c r="Q473" s="181"/>
      <c r="R473" s="181"/>
      <c r="S473" s="181"/>
      <c r="T473" s="181"/>
      <c r="U473" s="181"/>
      <c r="V473" s="181"/>
      <c r="W473" s="181"/>
      <c r="X473" s="181"/>
      <c r="Y473" s="181"/>
      <c r="Z473" s="181"/>
      <c r="AA473" s="181"/>
      <c r="AB473" s="181"/>
      <c r="AC473" s="181"/>
      <c r="AD473" s="181"/>
      <c r="AE473" s="181"/>
      <c r="AF473" s="181"/>
      <c r="AG473" s="181"/>
      <c r="AH473" s="181"/>
      <c r="AI473" s="181"/>
      <c r="AJ473" s="181"/>
      <c r="AK473" s="181"/>
      <c r="AL473" s="181"/>
      <c r="AM473" s="181"/>
      <c r="AN473" s="181"/>
      <c r="AO473" s="181"/>
      <c r="AP473" s="181"/>
      <c r="AQ473" s="181"/>
      <c r="AR473" s="181"/>
      <c r="AS473" s="181"/>
      <c r="AT473" s="181"/>
      <c r="AU473" s="181"/>
      <c r="AV473" s="181"/>
      <c r="AW473" s="181"/>
      <c r="AX473" s="181"/>
      <c r="AY473" s="181"/>
      <c r="AZ473" s="181"/>
      <c r="BA473" s="181"/>
      <c r="BB473" s="181"/>
      <c r="BC473" s="173"/>
      <c r="BD473" s="173"/>
      <c r="BE473" s="173"/>
      <c r="BF473" s="173"/>
      <c r="BG473" s="173"/>
      <c r="BH473" s="173"/>
      <c r="BI473" s="173"/>
      <c r="BJ473" s="173"/>
      <c r="BK473" s="173"/>
      <c r="BL473" s="173"/>
      <c r="BM473" s="173"/>
    </row>
    <row r="474" spans="1:65">
      <c r="A474" s="181"/>
      <c r="B474" s="181"/>
      <c r="C474" s="181"/>
      <c r="D474" s="181"/>
      <c r="E474" s="181"/>
      <c r="F474" s="181"/>
      <c r="G474" s="181"/>
      <c r="H474" s="181"/>
      <c r="I474" s="181"/>
      <c r="J474" s="181"/>
      <c r="K474" s="254"/>
      <c r="L474" s="181"/>
      <c r="M474" s="181"/>
      <c r="N474" s="181"/>
      <c r="O474" s="181"/>
      <c r="P474" s="181"/>
      <c r="Q474" s="181"/>
      <c r="R474" s="181"/>
      <c r="S474" s="181"/>
      <c r="T474" s="181"/>
      <c r="U474" s="181"/>
      <c r="V474" s="181"/>
      <c r="W474" s="181"/>
      <c r="X474" s="181"/>
      <c r="Y474" s="181"/>
      <c r="Z474" s="181"/>
      <c r="AA474" s="181"/>
      <c r="AB474" s="181"/>
      <c r="AC474" s="181"/>
      <c r="AD474" s="181"/>
      <c r="AE474" s="181"/>
      <c r="AF474" s="181"/>
      <c r="AG474" s="181"/>
      <c r="AH474" s="181"/>
      <c r="AI474" s="181"/>
      <c r="AJ474" s="181"/>
      <c r="AK474" s="181"/>
      <c r="AL474" s="181"/>
      <c r="AM474" s="181"/>
      <c r="AN474" s="181"/>
      <c r="AO474" s="181"/>
      <c r="AP474" s="181"/>
      <c r="AQ474" s="181"/>
      <c r="AR474" s="181"/>
      <c r="AS474" s="181"/>
      <c r="AT474" s="181"/>
      <c r="AU474" s="181"/>
      <c r="AV474" s="181"/>
      <c r="AW474" s="181"/>
      <c r="AX474" s="181"/>
      <c r="AY474" s="181"/>
      <c r="AZ474" s="181"/>
      <c r="BA474" s="181"/>
      <c r="BB474" s="181"/>
      <c r="BC474" s="173"/>
      <c r="BD474" s="173"/>
      <c r="BE474" s="173"/>
      <c r="BF474" s="173"/>
      <c r="BG474" s="173"/>
      <c r="BH474" s="173"/>
      <c r="BI474" s="173"/>
      <c r="BJ474" s="173"/>
      <c r="BK474" s="173"/>
      <c r="BL474" s="173"/>
      <c r="BM474" s="173"/>
    </row>
    <row r="475" spans="1:65">
      <c r="A475" s="181"/>
      <c r="B475" s="181"/>
      <c r="C475" s="181"/>
      <c r="D475" s="181"/>
      <c r="E475" s="181"/>
      <c r="F475" s="181"/>
      <c r="G475" s="181"/>
      <c r="H475" s="181"/>
      <c r="I475" s="181"/>
      <c r="J475" s="181"/>
      <c r="K475" s="254"/>
      <c r="L475" s="181"/>
      <c r="M475" s="181"/>
      <c r="N475" s="181"/>
      <c r="O475" s="181"/>
      <c r="P475" s="181"/>
      <c r="Q475" s="181"/>
      <c r="R475" s="181"/>
      <c r="S475" s="181"/>
      <c r="T475" s="181"/>
      <c r="U475" s="181"/>
      <c r="V475" s="181"/>
      <c r="W475" s="181"/>
      <c r="X475" s="181"/>
      <c r="Y475" s="181"/>
      <c r="Z475" s="181"/>
      <c r="AA475" s="181"/>
      <c r="AB475" s="181"/>
      <c r="AC475" s="181"/>
      <c r="AD475" s="181"/>
      <c r="AE475" s="181"/>
      <c r="AF475" s="181"/>
      <c r="AG475" s="181"/>
      <c r="AH475" s="181"/>
      <c r="AI475" s="181"/>
      <c r="AJ475" s="181"/>
      <c r="AK475" s="181"/>
      <c r="AL475" s="181"/>
      <c r="AM475" s="181"/>
      <c r="AN475" s="181"/>
      <c r="AO475" s="181"/>
      <c r="AP475" s="181"/>
      <c r="AQ475" s="181"/>
      <c r="AR475" s="181"/>
      <c r="AS475" s="181"/>
      <c r="AT475" s="181"/>
      <c r="AU475" s="181"/>
      <c r="AV475" s="181"/>
      <c r="AW475" s="181"/>
      <c r="AX475" s="181"/>
      <c r="AY475" s="181"/>
      <c r="AZ475" s="181"/>
      <c r="BA475" s="181"/>
      <c r="BB475" s="181"/>
      <c r="BC475" s="173"/>
      <c r="BD475" s="173"/>
      <c r="BE475" s="173"/>
      <c r="BF475" s="173"/>
      <c r="BG475" s="173"/>
      <c r="BH475" s="173"/>
      <c r="BI475" s="173"/>
      <c r="BJ475" s="173"/>
      <c r="BK475" s="173"/>
      <c r="BL475" s="173"/>
      <c r="BM475" s="173"/>
    </row>
    <row r="476" spans="1:65">
      <c r="A476" s="181"/>
      <c r="B476" s="181"/>
      <c r="C476" s="181"/>
      <c r="D476" s="181"/>
      <c r="E476" s="181"/>
      <c r="F476" s="181"/>
      <c r="G476" s="181"/>
      <c r="H476" s="181"/>
      <c r="I476" s="181"/>
      <c r="J476" s="181"/>
      <c r="K476" s="254"/>
      <c r="L476" s="181"/>
      <c r="M476" s="181"/>
      <c r="N476" s="181"/>
      <c r="O476" s="181"/>
      <c r="P476" s="181"/>
      <c r="Q476" s="181"/>
      <c r="R476" s="181"/>
      <c r="S476" s="181"/>
      <c r="T476" s="181"/>
      <c r="U476" s="181"/>
      <c r="V476" s="181"/>
      <c r="W476" s="181"/>
      <c r="X476" s="181"/>
      <c r="Y476" s="181"/>
      <c r="Z476" s="181"/>
      <c r="AA476" s="181"/>
      <c r="AB476" s="181"/>
      <c r="AC476" s="181"/>
      <c r="AD476" s="181"/>
      <c r="AE476" s="181"/>
      <c r="AF476" s="181"/>
      <c r="AG476" s="181"/>
      <c r="AH476" s="181"/>
      <c r="AI476" s="181"/>
      <c r="AJ476" s="181"/>
      <c r="AK476" s="181"/>
      <c r="AL476" s="181"/>
      <c r="AM476" s="181"/>
      <c r="AN476" s="181"/>
      <c r="AO476" s="181"/>
      <c r="AP476" s="181"/>
      <c r="AQ476" s="181"/>
      <c r="AR476" s="181"/>
      <c r="AS476" s="181"/>
      <c r="AT476" s="181"/>
      <c r="AU476" s="181"/>
      <c r="AV476" s="181"/>
      <c r="AW476" s="181"/>
      <c r="AX476" s="181"/>
      <c r="AY476" s="181"/>
      <c r="AZ476" s="181"/>
      <c r="BA476" s="181"/>
      <c r="BB476" s="181"/>
      <c r="BC476" s="173"/>
      <c r="BD476" s="173"/>
      <c r="BE476" s="173"/>
      <c r="BF476" s="173"/>
      <c r="BG476" s="173"/>
      <c r="BH476" s="173"/>
      <c r="BI476" s="173"/>
      <c r="BJ476" s="173"/>
      <c r="BK476" s="173"/>
      <c r="BL476" s="173"/>
      <c r="BM476" s="173"/>
    </row>
    <row r="477" spans="1:65">
      <c r="A477" s="181"/>
      <c r="B477" s="181"/>
      <c r="C477" s="181"/>
      <c r="D477" s="181"/>
      <c r="E477" s="181"/>
      <c r="F477" s="181"/>
      <c r="G477" s="181"/>
      <c r="H477" s="181"/>
      <c r="I477" s="181"/>
      <c r="J477" s="181"/>
      <c r="K477" s="254"/>
      <c r="L477" s="181"/>
      <c r="M477" s="181"/>
      <c r="N477" s="181"/>
      <c r="O477" s="181"/>
      <c r="P477" s="181"/>
      <c r="Q477" s="181"/>
      <c r="R477" s="181"/>
      <c r="S477" s="181"/>
      <c r="T477" s="181"/>
      <c r="U477" s="181"/>
      <c r="V477" s="181"/>
      <c r="W477" s="181"/>
      <c r="X477" s="181"/>
      <c r="Y477" s="181"/>
      <c r="Z477" s="181"/>
      <c r="AA477" s="181"/>
      <c r="AB477" s="181"/>
      <c r="AC477" s="181"/>
      <c r="AD477" s="181"/>
      <c r="AE477" s="181"/>
      <c r="AF477" s="181"/>
      <c r="AG477" s="181"/>
      <c r="AH477" s="181"/>
      <c r="AI477" s="181"/>
      <c r="AJ477" s="181"/>
      <c r="AK477" s="181"/>
      <c r="AL477" s="181"/>
      <c r="AM477" s="181"/>
      <c r="AN477" s="181"/>
      <c r="AO477" s="181"/>
      <c r="AP477" s="181"/>
      <c r="AQ477" s="181"/>
      <c r="AR477" s="181"/>
      <c r="AS477" s="181"/>
      <c r="AT477" s="181"/>
      <c r="AU477" s="181"/>
      <c r="AV477" s="181"/>
      <c r="AW477" s="181"/>
      <c r="AX477" s="181"/>
      <c r="AY477" s="181"/>
      <c r="AZ477" s="181"/>
      <c r="BA477" s="181"/>
      <c r="BB477" s="181"/>
      <c r="BC477" s="173"/>
      <c r="BD477" s="173"/>
      <c r="BE477" s="173"/>
      <c r="BF477" s="173"/>
      <c r="BG477" s="173"/>
      <c r="BH477" s="173"/>
      <c r="BI477" s="173"/>
      <c r="BJ477" s="173"/>
      <c r="BK477" s="173"/>
      <c r="BL477" s="173"/>
      <c r="BM477" s="173"/>
    </row>
    <row r="478" spans="1:65">
      <c r="A478" s="181"/>
      <c r="B478" s="181"/>
      <c r="C478" s="181"/>
      <c r="D478" s="181"/>
      <c r="E478" s="181"/>
      <c r="F478" s="181"/>
      <c r="G478" s="181"/>
      <c r="H478" s="181"/>
      <c r="I478" s="181"/>
      <c r="J478" s="181"/>
      <c r="K478" s="254"/>
      <c r="L478" s="181"/>
      <c r="M478" s="181"/>
      <c r="N478" s="181"/>
      <c r="O478" s="181"/>
      <c r="P478" s="181"/>
      <c r="Q478" s="181"/>
      <c r="R478" s="181"/>
      <c r="S478" s="181"/>
      <c r="T478" s="181"/>
      <c r="U478" s="181"/>
      <c r="V478" s="181"/>
      <c r="W478" s="181"/>
      <c r="X478" s="181"/>
      <c r="Y478" s="181"/>
      <c r="Z478" s="181"/>
      <c r="AA478" s="181"/>
      <c r="AB478" s="181"/>
      <c r="AC478" s="181"/>
      <c r="AD478" s="181"/>
      <c r="AE478" s="181"/>
      <c r="AF478" s="181"/>
      <c r="AG478" s="181"/>
      <c r="AH478" s="181"/>
      <c r="AI478" s="181"/>
      <c r="AJ478" s="181"/>
      <c r="AK478" s="181"/>
      <c r="AL478" s="181"/>
      <c r="AM478" s="181"/>
      <c r="AN478" s="181"/>
      <c r="AO478" s="181"/>
      <c r="AP478" s="181"/>
      <c r="AQ478" s="181"/>
      <c r="AR478" s="181"/>
      <c r="AS478" s="181"/>
      <c r="AT478" s="181"/>
      <c r="AU478" s="181"/>
      <c r="AV478" s="181"/>
      <c r="AW478" s="181"/>
      <c r="AX478" s="181"/>
      <c r="AY478" s="181"/>
      <c r="AZ478" s="181"/>
      <c r="BA478" s="181"/>
      <c r="BB478" s="181"/>
      <c r="BC478" s="173"/>
      <c r="BD478" s="173"/>
      <c r="BE478" s="173"/>
      <c r="BF478" s="173"/>
      <c r="BG478" s="173"/>
      <c r="BH478" s="173"/>
      <c r="BI478" s="173"/>
      <c r="BJ478" s="173"/>
      <c r="BK478" s="173"/>
      <c r="BL478" s="173"/>
      <c r="BM478" s="173"/>
    </row>
    <row r="479" spans="1:65">
      <c r="A479" s="181"/>
      <c r="B479" s="181"/>
      <c r="C479" s="181"/>
      <c r="D479" s="181"/>
      <c r="E479" s="181"/>
      <c r="F479" s="181"/>
      <c r="G479" s="181"/>
      <c r="H479" s="181"/>
      <c r="I479" s="181"/>
      <c r="J479" s="181"/>
      <c r="K479" s="254"/>
      <c r="L479" s="181"/>
      <c r="M479" s="181"/>
      <c r="N479" s="181"/>
      <c r="O479" s="181"/>
      <c r="P479" s="181"/>
      <c r="Q479" s="181"/>
      <c r="R479" s="181"/>
      <c r="S479" s="181"/>
      <c r="T479" s="181"/>
      <c r="U479" s="181"/>
      <c r="V479" s="181"/>
      <c r="W479" s="181"/>
      <c r="X479" s="181"/>
      <c r="Y479" s="181"/>
      <c r="Z479" s="181"/>
      <c r="AA479" s="181"/>
      <c r="AB479" s="181"/>
      <c r="AC479" s="181"/>
      <c r="AD479" s="181"/>
      <c r="AE479" s="181"/>
      <c r="AF479" s="181"/>
      <c r="AG479" s="181"/>
      <c r="AH479" s="181"/>
      <c r="AI479" s="181"/>
      <c r="AJ479" s="181"/>
      <c r="AK479" s="181"/>
      <c r="AL479" s="181"/>
      <c r="AM479" s="181"/>
      <c r="AN479" s="181"/>
      <c r="AO479" s="181"/>
      <c r="AP479" s="181"/>
      <c r="AQ479" s="181"/>
      <c r="AR479" s="181"/>
      <c r="AS479" s="181"/>
      <c r="AT479" s="181"/>
      <c r="AU479" s="181"/>
      <c r="AV479" s="181"/>
      <c r="AW479" s="181"/>
      <c r="AX479" s="181"/>
      <c r="AY479" s="181"/>
      <c r="AZ479" s="181"/>
      <c r="BA479" s="181"/>
      <c r="BB479" s="181"/>
      <c r="BC479" s="173"/>
      <c r="BD479" s="173"/>
      <c r="BE479" s="173"/>
      <c r="BF479" s="173"/>
      <c r="BG479" s="173"/>
      <c r="BH479" s="173"/>
      <c r="BI479" s="173"/>
      <c r="BJ479" s="173"/>
      <c r="BK479" s="173"/>
      <c r="BL479" s="173"/>
      <c r="BM479" s="173"/>
    </row>
    <row r="480" spans="1:65">
      <c r="A480" s="181"/>
      <c r="B480" s="181"/>
      <c r="C480" s="181"/>
      <c r="D480" s="181"/>
      <c r="E480" s="181"/>
      <c r="F480" s="181"/>
      <c r="G480" s="181"/>
      <c r="H480" s="181"/>
      <c r="I480" s="181"/>
      <c r="J480" s="181"/>
      <c r="K480" s="254"/>
      <c r="L480" s="181"/>
      <c r="M480" s="181"/>
      <c r="N480" s="181"/>
      <c r="O480" s="181"/>
      <c r="P480" s="181"/>
      <c r="Q480" s="181"/>
      <c r="R480" s="181"/>
      <c r="S480" s="181"/>
      <c r="T480" s="181"/>
      <c r="U480" s="181"/>
      <c r="V480" s="181"/>
      <c r="W480" s="181"/>
      <c r="X480" s="181"/>
      <c r="Y480" s="181"/>
      <c r="Z480" s="181"/>
      <c r="AA480" s="181"/>
      <c r="AB480" s="181"/>
      <c r="AC480" s="181"/>
      <c r="AD480" s="181"/>
      <c r="AE480" s="181"/>
      <c r="AF480" s="181"/>
      <c r="AG480" s="181"/>
      <c r="AH480" s="181"/>
      <c r="AI480" s="181"/>
      <c r="AJ480" s="181"/>
      <c r="AK480" s="181"/>
      <c r="AL480" s="181"/>
      <c r="AM480" s="181"/>
      <c r="AN480" s="181"/>
      <c r="AO480" s="181"/>
      <c r="AP480" s="181"/>
      <c r="AQ480" s="181"/>
      <c r="AR480" s="181"/>
      <c r="AS480" s="181"/>
      <c r="AT480" s="181"/>
      <c r="AU480" s="181"/>
      <c r="AV480" s="181"/>
      <c r="AW480" s="181"/>
      <c r="AX480" s="181"/>
      <c r="AY480" s="181"/>
      <c r="AZ480" s="181"/>
      <c r="BA480" s="181"/>
      <c r="BB480" s="181"/>
      <c r="BC480" s="173"/>
      <c r="BD480" s="173"/>
      <c r="BE480" s="173"/>
      <c r="BF480" s="173"/>
      <c r="BG480" s="173"/>
      <c r="BH480" s="173"/>
      <c r="BI480" s="173"/>
      <c r="BJ480" s="173"/>
      <c r="BK480" s="173"/>
      <c r="BL480" s="173"/>
      <c r="BM480" s="173"/>
    </row>
    <row r="481" spans="1:65">
      <c r="A481" s="181"/>
      <c r="B481" s="181"/>
      <c r="C481" s="181"/>
      <c r="D481" s="181"/>
      <c r="E481" s="181"/>
      <c r="F481" s="181"/>
      <c r="G481" s="181"/>
      <c r="H481" s="181"/>
      <c r="I481" s="181"/>
      <c r="J481" s="181"/>
      <c r="K481" s="254"/>
      <c r="L481" s="181"/>
      <c r="M481" s="181"/>
      <c r="N481" s="181"/>
      <c r="O481" s="181"/>
      <c r="P481" s="181"/>
      <c r="Q481" s="181"/>
      <c r="R481" s="181"/>
      <c r="S481" s="181"/>
      <c r="T481" s="181"/>
      <c r="U481" s="181"/>
      <c r="V481" s="181"/>
      <c r="W481" s="181"/>
      <c r="X481" s="181"/>
      <c r="Y481" s="181"/>
      <c r="Z481" s="181"/>
      <c r="AA481" s="181"/>
      <c r="AB481" s="181"/>
      <c r="AC481" s="181"/>
      <c r="AD481" s="181"/>
      <c r="AE481" s="181"/>
      <c r="AF481" s="181"/>
      <c r="AG481" s="181"/>
      <c r="AH481" s="181"/>
      <c r="AI481" s="181"/>
      <c r="AJ481" s="181"/>
      <c r="AK481" s="181"/>
      <c r="AL481" s="181"/>
      <c r="AM481" s="181"/>
      <c r="AN481" s="181"/>
      <c r="AO481" s="181"/>
      <c r="AP481" s="181"/>
      <c r="AQ481" s="181"/>
      <c r="AR481" s="181"/>
      <c r="AS481" s="181"/>
      <c r="AT481" s="181"/>
      <c r="AU481" s="181"/>
      <c r="AV481" s="181"/>
      <c r="AW481" s="181"/>
      <c r="AX481" s="181"/>
      <c r="AY481" s="181"/>
      <c r="AZ481" s="181"/>
      <c r="BA481" s="181"/>
      <c r="BB481" s="181"/>
      <c r="BC481" s="173"/>
      <c r="BD481" s="173"/>
      <c r="BE481" s="173"/>
      <c r="BF481" s="173"/>
      <c r="BG481" s="173"/>
      <c r="BH481" s="173"/>
      <c r="BI481" s="173"/>
      <c r="BJ481" s="173"/>
      <c r="BK481" s="173"/>
      <c r="BL481" s="173"/>
      <c r="BM481" s="173"/>
    </row>
    <row r="482" spans="1:65">
      <c r="A482" s="181"/>
      <c r="B482" s="181"/>
      <c r="C482" s="181"/>
      <c r="D482" s="181"/>
      <c r="E482" s="181"/>
      <c r="F482" s="181"/>
      <c r="G482" s="181"/>
      <c r="H482" s="181"/>
      <c r="I482" s="181"/>
      <c r="J482" s="181"/>
      <c r="K482" s="254"/>
      <c r="L482" s="181"/>
      <c r="M482" s="181"/>
      <c r="N482" s="181"/>
      <c r="O482" s="181"/>
      <c r="P482" s="181"/>
      <c r="Q482" s="181"/>
      <c r="R482" s="181"/>
      <c r="S482" s="181"/>
      <c r="T482" s="181"/>
      <c r="U482" s="181"/>
      <c r="V482" s="181"/>
      <c r="W482" s="181"/>
      <c r="X482" s="181"/>
      <c r="Y482" s="181"/>
      <c r="Z482" s="181"/>
      <c r="AA482" s="181"/>
      <c r="AB482" s="181"/>
      <c r="AC482" s="181"/>
      <c r="AD482" s="181"/>
      <c r="AE482" s="181"/>
      <c r="AF482" s="181"/>
      <c r="AG482" s="181"/>
      <c r="AH482" s="181"/>
      <c r="AI482" s="181"/>
      <c r="AJ482" s="181"/>
      <c r="AK482" s="181"/>
      <c r="AL482" s="181"/>
      <c r="AM482" s="181"/>
      <c r="AN482" s="181"/>
      <c r="AO482" s="181"/>
      <c r="AP482" s="181"/>
      <c r="AQ482" s="181"/>
      <c r="AR482" s="181"/>
      <c r="AS482" s="181"/>
      <c r="AT482" s="181"/>
      <c r="AU482" s="181"/>
      <c r="AV482" s="181"/>
      <c r="AW482" s="181"/>
      <c r="AX482" s="181"/>
      <c r="AY482" s="181"/>
      <c r="AZ482" s="181"/>
      <c r="BA482" s="181"/>
      <c r="BB482" s="181"/>
      <c r="BC482" s="173"/>
      <c r="BD482" s="173"/>
      <c r="BE482" s="173"/>
      <c r="BF482" s="173"/>
      <c r="BG482" s="173"/>
      <c r="BH482" s="173"/>
      <c r="BI482" s="173"/>
      <c r="BJ482" s="173"/>
      <c r="BK482" s="173"/>
      <c r="BL482" s="173"/>
      <c r="BM482" s="173"/>
    </row>
    <row r="483" spans="1:65">
      <c r="A483" s="181"/>
      <c r="B483" s="181"/>
      <c r="C483" s="181"/>
      <c r="D483" s="181"/>
      <c r="E483" s="181"/>
      <c r="F483" s="181"/>
      <c r="G483" s="181"/>
      <c r="H483" s="181"/>
      <c r="I483" s="181"/>
      <c r="J483" s="181"/>
      <c r="K483" s="254"/>
      <c r="L483" s="181"/>
      <c r="M483" s="181"/>
      <c r="N483" s="181"/>
      <c r="O483" s="181"/>
      <c r="P483" s="181"/>
      <c r="Q483" s="181"/>
      <c r="R483" s="181"/>
      <c r="S483" s="181"/>
      <c r="T483" s="181"/>
      <c r="U483" s="181"/>
      <c r="V483" s="181"/>
      <c r="W483" s="181"/>
      <c r="X483" s="181"/>
      <c r="Y483" s="181"/>
      <c r="Z483" s="181"/>
      <c r="AA483" s="181"/>
      <c r="AB483" s="181"/>
      <c r="AC483" s="181"/>
      <c r="AD483" s="181"/>
      <c r="AE483" s="181"/>
      <c r="AF483" s="181"/>
      <c r="AG483" s="181"/>
      <c r="AH483" s="181"/>
      <c r="AI483" s="181"/>
      <c r="AJ483" s="181"/>
      <c r="AK483" s="181"/>
      <c r="AL483" s="181"/>
      <c r="AM483" s="181"/>
      <c r="AN483" s="181"/>
      <c r="AO483" s="181"/>
      <c r="AP483" s="181"/>
      <c r="AQ483" s="181"/>
      <c r="AR483" s="181"/>
      <c r="AS483" s="181"/>
      <c r="AT483" s="181"/>
      <c r="AU483" s="181"/>
      <c r="AV483" s="181"/>
      <c r="AW483" s="181"/>
      <c r="AX483" s="181"/>
      <c r="AY483" s="181"/>
      <c r="AZ483" s="181"/>
      <c r="BA483" s="181"/>
      <c r="BB483" s="181"/>
      <c r="BC483" s="173"/>
      <c r="BD483" s="173"/>
      <c r="BE483" s="173"/>
      <c r="BF483" s="173"/>
      <c r="BG483" s="173"/>
      <c r="BH483" s="173"/>
      <c r="BI483" s="173"/>
      <c r="BJ483" s="173"/>
      <c r="BK483" s="173"/>
      <c r="BL483" s="173"/>
      <c r="BM483" s="173"/>
    </row>
    <row r="484" spans="1:65">
      <c r="A484" s="181"/>
      <c r="B484" s="181"/>
      <c r="C484" s="181"/>
      <c r="D484" s="181"/>
      <c r="E484" s="181"/>
      <c r="F484" s="181"/>
      <c r="G484" s="181"/>
      <c r="H484" s="181"/>
      <c r="I484" s="181"/>
      <c r="J484" s="181"/>
      <c r="K484" s="254"/>
      <c r="L484" s="181"/>
      <c r="M484" s="181"/>
      <c r="N484" s="181"/>
      <c r="O484" s="181"/>
      <c r="P484" s="181"/>
      <c r="Q484" s="181"/>
      <c r="R484" s="181"/>
      <c r="S484" s="181"/>
      <c r="T484" s="181"/>
      <c r="U484" s="181"/>
      <c r="V484" s="181"/>
      <c r="W484" s="181"/>
      <c r="X484" s="181"/>
      <c r="Y484" s="181"/>
      <c r="Z484" s="181"/>
      <c r="AA484" s="181"/>
      <c r="AB484" s="181"/>
      <c r="AC484" s="181"/>
      <c r="AD484" s="181"/>
      <c r="AE484" s="181"/>
      <c r="AF484" s="181"/>
      <c r="AG484" s="181"/>
      <c r="AH484" s="181"/>
      <c r="AI484" s="181"/>
      <c r="AJ484" s="181"/>
      <c r="AK484" s="181"/>
      <c r="AL484" s="181"/>
      <c r="AM484" s="181"/>
      <c r="AN484" s="181"/>
      <c r="AO484" s="181"/>
      <c r="AP484" s="181"/>
      <c r="AQ484" s="181"/>
      <c r="AR484" s="181"/>
      <c r="AS484" s="181"/>
      <c r="AT484" s="181"/>
      <c r="AU484" s="181"/>
      <c r="AV484" s="181"/>
      <c r="AW484" s="181"/>
      <c r="AX484" s="181"/>
      <c r="AY484" s="181"/>
      <c r="AZ484" s="181"/>
      <c r="BA484" s="181"/>
      <c r="BB484" s="181"/>
      <c r="BC484" s="173"/>
      <c r="BD484" s="173"/>
      <c r="BE484" s="173"/>
      <c r="BF484" s="173"/>
      <c r="BG484" s="173"/>
      <c r="BH484" s="173"/>
      <c r="BI484" s="173"/>
      <c r="BJ484" s="173"/>
      <c r="BK484" s="173"/>
      <c r="BL484" s="173"/>
      <c r="BM484" s="173"/>
    </row>
    <row r="485" spans="1:65">
      <c r="A485" s="181"/>
      <c r="B485" s="181"/>
      <c r="C485" s="181"/>
      <c r="D485" s="181"/>
      <c r="E485" s="181"/>
      <c r="F485" s="181"/>
      <c r="G485" s="181"/>
      <c r="H485" s="181"/>
      <c r="I485" s="181"/>
      <c r="J485" s="181"/>
      <c r="K485" s="254"/>
      <c r="L485" s="181"/>
      <c r="M485" s="181"/>
      <c r="N485" s="181"/>
      <c r="O485" s="181"/>
      <c r="P485" s="181"/>
      <c r="Q485" s="181"/>
      <c r="R485" s="181"/>
      <c r="S485" s="181"/>
      <c r="T485" s="181"/>
      <c r="U485" s="181"/>
      <c r="V485" s="181"/>
      <c r="W485" s="181"/>
      <c r="X485" s="181"/>
      <c r="Y485" s="181"/>
      <c r="Z485" s="181"/>
      <c r="AA485" s="181"/>
      <c r="AB485" s="181"/>
      <c r="AC485" s="181"/>
      <c r="AD485" s="181"/>
      <c r="AE485" s="181"/>
      <c r="AF485" s="181"/>
      <c r="AG485" s="181"/>
      <c r="AH485" s="181"/>
      <c r="AI485" s="181"/>
      <c r="AJ485" s="181"/>
      <c r="AK485" s="181"/>
      <c r="AL485" s="181"/>
      <c r="AM485" s="181"/>
      <c r="AN485" s="181"/>
      <c r="AO485" s="181"/>
      <c r="AP485" s="181"/>
      <c r="AQ485" s="181"/>
      <c r="AR485" s="181"/>
      <c r="AS485" s="181"/>
      <c r="AT485" s="181"/>
      <c r="AU485" s="181"/>
      <c r="AV485" s="181"/>
      <c r="AW485" s="181"/>
      <c r="AX485" s="181"/>
      <c r="AY485" s="181"/>
      <c r="AZ485" s="181"/>
      <c r="BA485" s="181"/>
      <c r="BB485" s="181"/>
      <c r="BC485" s="173"/>
      <c r="BD485" s="173"/>
      <c r="BE485" s="173"/>
      <c r="BF485" s="173"/>
      <c r="BG485" s="173"/>
      <c r="BH485" s="173"/>
      <c r="BI485" s="173"/>
      <c r="BJ485" s="173"/>
      <c r="BK485" s="173"/>
      <c r="BL485" s="173"/>
      <c r="BM485" s="173"/>
    </row>
    <row r="486" spans="1:65">
      <c r="A486" s="181"/>
      <c r="B486" s="181"/>
      <c r="C486" s="181"/>
      <c r="D486" s="181"/>
      <c r="E486" s="181"/>
      <c r="F486" s="181"/>
      <c r="G486" s="181"/>
      <c r="H486" s="181"/>
      <c r="I486" s="181"/>
      <c r="J486" s="181"/>
      <c r="K486" s="254"/>
      <c r="L486" s="181"/>
      <c r="M486" s="181"/>
      <c r="N486" s="181"/>
      <c r="O486" s="181"/>
      <c r="P486" s="181"/>
      <c r="Q486" s="181"/>
      <c r="R486" s="181"/>
      <c r="S486" s="181"/>
      <c r="T486" s="181"/>
      <c r="U486" s="181"/>
      <c r="V486" s="181"/>
      <c r="W486" s="181"/>
      <c r="X486" s="181"/>
      <c r="Y486" s="181"/>
      <c r="Z486" s="181"/>
      <c r="AA486" s="181"/>
      <c r="AB486" s="181"/>
      <c r="AC486" s="181"/>
      <c r="AD486" s="181"/>
      <c r="AE486" s="181"/>
      <c r="AF486" s="181"/>
      <c r="AG486" s="181"/>
      <c r="AH486" s="181"/>
      <c r="AI486" s="181"/>
      <c r="AJ486" s="181"/>
      <c r="AK486" s="181"/>
      <c r="AL486" s="181"/>
      <c r="AM486" s="181"/>
      <c r="AN486" s="181"/>
      <c r="AO486" s="181"/>
      <c r="AP486" s="181"/>
      <c r="AQ486" s="181"/>
      <c r="AR486" s="181"/>
      <c r="AS486" s="181"/>
      <c r="AT486" s="181"/>
      <c r="AU486" s="181"/>
      <c r="AV486" s="181"/>
      <c r="AW486" s="181"/>
      <c r="AX486" s="181"/>
      <c r="AY486" s="181"/>
      <c r="AZ486" s="181"/>
      <c r="BA486" s="181"/>
      <c r="BB486" s="181"/>
      <c r="BC486" s="173"/>
      <c r="BD486" s="173"/>
      <c r="BE486" s="173"/>
      <c r="BF486" s="173"/>
      <c r="BG486" s="173"/>
      <c r="BH486" s="173"/>
      <c r="BI486" s="173"/>
      <c r="BJ486" s="173"/>
      <c r="BK486" s="173"/>
      <c r="BL486" s="173"/>
      <c r="BM486" s="173"/>
    </row>
    <row r="487" spans="1:65">
      <c r="A487" s="181"/>
      <c r="B487" s="181"/>
      <c r="C487" s="181"/>
      <c r="D487" s="181"/>
      <c r="E487" s="181"/>
      <c r="F487" s="181"/>
      <c r="G487" s="181"/>
      <c r="H487" s="181"/>
      <c r="I487" s="181"/>
      <c r="J487" s="181"/>
      <c r="K487" s="254"/>
      <c r="L487" s="181"/>
      <c r="M487" s="181"/>
      <c r="N487" s="181"/>
      <c r="O487" s="181"/>
      <c r="P487" s="181"/>
      <c r="Q487" s="181"/>
      <c r="R487" s="181"/>
      <c r="S487" s="181"/>
      <c r="T487" s="181"/>
      <c r="U487" s="181"/>
      <c r="V487" s="181"/>
      <c r="W487" s="181"/>
      <c r="X487" s="181"/>
      <c r="Y487" s="181"/>
      <c r="Z487" s="181"/>
      <c r="AA487" s="181"/>
      <c r="AB487" s="181"/>
      <c r="AC487" s="181"/>
      <c r="AD487" s="181"/>
      <c r="AE487" s="181"/>
      <c r="AF487" s="181"/>
      <c r="AG487" s="181"/>
      <c r="AH487" s="181"/>
      <c r="AI487" s="181"/>
      <c r="AJ487" s="181"/>
      <c r="AK487" s="181"/>
      <c r="AL487" s="181"/>
      <c r="AM487" s="181"/>
      <c r="AN487" s="181"/>
      <c r="AO487" s="181"/>
      <c r="AP487" s="181"/>
      <c r="AQ487" s="181"/>
      <c r="AR487" s="181"/>
      <c r="AS487" s="181"/>
      <c r="AT487" s="181"/>
      <c r="AU487" s="181"/>
      <c r="AV487" s="181"/>
      <c r="AW487" s="181"/>
      <c r="AX487" s="181"/>
      <c r="AY487" s="181"/>
      <c r="AZ487" s="181"/>
      <c r="BA487" s="181"/>
      <c r="BB487" s="181"/>
      <c r="BC487" s="173"/>
      <c r="BD487" s="173"/>
      <c r="BE487" s="173"/>
      <c r="BF487" s="173"/>
      <c r="BG487" s="173"/>
      <c r="BH487" s="173"/>
      <c r="BI487" s="173"/>
      <c r="BJ487" s="173"/>
      <c r="BK487" s="173"/>
      <c r="BL487" s="173"/>
      <c r="BM487" s="173"/>
    </row>
    <row r="488" spans="1:65">
      <c r="A488" s="181"/>
      <c r="B488" s="181"/>
      <c r="C488" s="181"/>
      <c r="D488" s="181"/>
      <c r="E488" s="181"/>
      <c r="F488" s="181"/>
      <c r="G488" s="181"/>
      <c r="H488" s="181"/>
      <c r="I488" s="181"/>
      <c r="J488" s="181"/>
      <c r="K488" s="254"/>
      <c r="L488" s="181"/>
      <c r="M488" s="181"/>
      <c r="N488" s="181"/>
      <c r="O488" s="181"/>
      <c r="P488" s="181"/>
      <c r="Q488" s="181"/>
      <c r="R488" s="181"/>
      <c r="S488" s="181"/>
      <c r="T488" s="181"/>
      <c r="U488" s="181"/>
      <c r="V488" s="181"/>
      <c r="W488" s="181"/>
      <c r="X488" s="181"/>
      <c r="Y488" s="181"/>
      <c r="Z488" s="181"/>
      <c r="AA488" s="181"/>
      <c r="AB488" s="181"/>
      <c r="AC488" s="181"/>
      <c r="AD488" s="181"/>
      <c r="AE488" s="181"/>
      <c r="AF488" s="181"/>
      <c r="AG488" s="181"/>
      <c r="AH488" s="181"/>
      <c r="AI488" s="181"/>
      <c r="AJ488" s="181"/>
      <c r="AK488" s="181"/>
      <c r="AL488" s="181"/>
      <c r="AM488" s="181"/>
      <c r="AN488" s="181"/>
      <c r="AO488" s="181"/>
      <c r="AP488" s="181"/>
      <c r="AQ488" s="181"/>
      <c r="AR488" s="181"/>
      <c r="AS488" s="181"/>
      <c r="AT488" s="181"/>
      <c r="AU488" s="181"/>
      <c r="AV488" s="181"/>
      <c r="AW488" s="181"/>
      <c r="AX488" s="181"/>
      <c r="AY488" s="181"/>
      <c r="AZ488" s="181"/>
      <c r="BA488" s="181"/>
      <c r="BB488" s="181"/>
      <c r="BC488" s="173"/>
      <c r="BD488" s="173"/>
      <c r="BE488" s="173"/>
      <c r="BF488" s="173"/>
      <c r="BG488" s="173"/>
      <c r="BH488" s="173"/>
      <c r="BI488" s="173"/>
      <c r="BJ488" s="173"/>
      <c r="BK488" s="173"/>
      <c r="BL488" s="173"/>
      <c r="BM488" s="173"/>
    </row>
    <row r="489" spans="1:65">
      <c r="A489" s="181"/>
      <c r="B489" s="181"/>
      <c r="C489" s="181"/>
      <c r="D489" s="181"/>
      <c r="E489" s="181"/>
      <c r="F489" s="181"/>
      <c r="G489" s="181"/>
      <c r="H489" s="181"/>
      <c r="I489" s="181"/>
      <c r="J489" s="181"/>
      <c r="K489" s="254"/>
      <c r="L489" s="181"/>
      <c r="M489" s="181"/>
      <c r="N489" s="181"/>
      <c r="O489" s="181"/>
      <c r="P489" s="181"/>
      <c r="Q489" s="181"/>
      <c r="R489" s="181"/>
      <c r="S489" s="181"/>
      <c r="T489" s="181"/>
      <c r="U489" s="181"/>
      <c r="V489" s="181"/>
      <c r="W489" s="181"/>
      <c r="X489" s="181"/>
      <c r="Y489" s="181"/>
      <c r="Z489" s="181"/>
      <c r="AA489" s="181"/>
      <c r="AB489" s="181"/>
      <c r="AC489" s="181"/>
      <c r="AD489" s="181"/>
      <c r="AE489" s="181"/>
      <c r="AF489" s="181"/>
      <c r="AG489" s="181"/>
      <c r="AH489" s="181"/>
      <c r="AI489" s="181"/>
      <c r="AJ489" s="181"/>
      <c r="AK489" s="181"/>
      <c r="AL489" s="181"/>
      <c r="AM489" s="181"/>
      <c r="AN489" s="181"/>
      <c r="AO489" s="181"/>
      <c r="AP489" s="181"/>
      <c r="AQ489" s="181"/>
      <c r="AR489" s="181"/>
      <c r="AS489" s="181"/>
      <c r="AT489" s="181"/>
      <c r="AU489" s="181"/>
      <c r="AV489" s="181"/>
      <c r="AW489" s="181"/>
      <c r="AX489" s="181"/>
      <c r="AY489" s="181"/>
      <c r="AZ489" s="181"/>
      <c r="BA489" s="181"/>
      <c r="BB489" s="181"/>
      <c r="BC489" s="173"/>
      <c r="BD489" s="173"/>
      <c r="BE489" s="173"/>
      <c r="BF489" s="173"/>
      <c r="BG489" s="173"/>
      <c r="BH489" s="173"/>
      <c r="BI489" s="173"/>
      <c r="BJ489" s="173"/>
      <c r="BK489" s="173"/>
      <c r="BL489" s="173"/>
      <c r="BM489" s="173"/>
    </row>
    <row r="490" spans="1:65">
      <c r="A490" s="181"/>
      <c r="B490" s="181"/>
      <c r="C490" s="181"/>
      <c r="D490" s="181"/>
      <c r="E490" s="181"/>
      <c r="F490" s="181"/>
      <c r="G490" s="181"/>
      <c r="H490" s="181"/>
      <c r="I490" s="181"/>
      <c r="J490" s="181"/>
      <c r="K490" s="254"/>
      <c r="L490" s="181"/>
      <c r="M490" s="181"/>
      <c r="N490" s="181"/>
      <c r="O490" s="181"/>
      <c r="P490" s="181"/>
      <c r="Q490" s="181"/>
      <c r="R490" s="181"/>
      <c r="S490" s="181"/>
      <c r="T490" s="181"/>
      <c r="U490" s="181"/>
      <c r="V490" s="181"/>
      <c r="W490" s="181"/>
      <c r="X490" s="181"/>
      <c r="Y490" s="181"/>
      <c r="Z490" s="181"/>
      <c r="AA490" s="181"/>
      <c r="AB490" s="181"/>
      <c r="AC490" s="181"/>
      <c r="AD490" s="181"/>
      <c r="AE490" s="181"/>
      <c r="AF490" s="181"/>
      <c r="AG490" s="181"/>
      <c r="AH490" s="181"/>
      <c r="AI490" s="181"/>
      <c r="AJ490" s="181"/>
      <c r="AK490" s="181"/>
      <c r="AL490" s="181"/>
      <c r="AM490" s="181"/>
      <c r="AN490" s="181"/>
      <c r="AO490" s="181"/>
      <c r="AP490" s="181"/>
      <c r="AQ490" s="181"/>
      <c r="AR490" s="181"/>
      <c r="AS490" s="181"/>
      <c r="AT490" s="181"/>
      <c r="AU490" s="181"/>
      <c r="AV490" s="181"/>
      <c r="AW490" s="181"/>
      <c r="AX490" s="181"/>
      <c r="AY490" s="181"/>
      <c r="AZ490" s="181"/>
      <c r="BA490" s="181"/>
      <c r="BB490" s="181"/>
      <c r="BC490" s="173"/>
      <c r="BD490" s="173"/>
      <c r="BE490" s="173"/>
      <c r="BF490" s="173"/>
      <c r="BG490" s="173"/>
      <c r="BH490" s="173"/>
      <c r="BI490" s="173"/>
      <c r="BJ490" s="173"/>
      <c r="BK490" s="173"/>
      <c r="BL490" s="173"/>
      <c r="BM490" s="173"/>
    </row>
    <row r="491" spans="1:65">
      <c r="A491" s="181"/>
      <c r="B491" s="181"/>
      <c r="C491" s="181"/>
      <c r="D491" s="181"/>
      <c r="E491" s="181"/>
      <c r="F491" s="181"/>
      <c r="G491" s="181"/>
      <c r="H491" s="181"/>
      <c r="I491" s="181"/>
      <c r="J491" s="181"/>
      <c r="K491" s="254"/>
      <c r="L491" s="181"/>
      <c r="M491" s="181"/>
      <c r="N491" s="181"/>
      <c r="O491" s="181"/>
      <c r="P491" s="181"/>
      <c r="Q491" s="181"/>
      <c r="R491" s="181"/>
      <c r="S491" s="181"/>
      <c r="T491" s="181"/>
      <c r="U491" s="181"/>
      <c r="V491" s="181"/>
      <c r="W491" s="181"/>
      <c r="X491" s="181"/>
      <c r="Y491" s="181"/>
      <c r="Z491" s="181"/>
      <c r="AA491" s="181"/>
      <c r="AB491" s="181"/>
      <c r="AC491" s="181"/>
      <c r="AD491" s="181"/>
      <c r="AE491" s="181"/>
      <c r="AF491" s="181"/>
      <c r="AG491" s="181"/>
      <c r="AH491" s="181"/>
      <c r="AI491" s="181"/>
      <c r="AJ491" s="181"/>
      <c r="AK491" s="181"/>
      <c r="AL491" s="181"/>
      <c r="AM491" s="181"/>
      <c r="AN491" s="181"/>
      <c r="AO491" s="181"/>
      <c r="AP491" s="181"/>
      <c r="AQ491" s="181"/>
      <c r="AR491" s="181"/>
      <c r="AS491" s="181"/>
      <c r="AT491" s="181"/>
      <c r="AU491" s="181"/>
      <c r="AV491" s="181"/>
      <c r="AW491" s="181"/>
      <c r="AX491" s="181"/>
      <c r="AY491" s="181"/>
      <c r="AZ491" s="181"/>
      <c r="BA491" s="181"/>
      <c r="BB491" s="181"/>
      <c r="BC491" s="173"/>
      <c r="BD491" s="173"/>
      <c r="BE491" s="173"/>
      <c r="BF491" s="173"/>
      <c r="BG491" s="173"/>
      <c r="BH491" s="173"/>
      <c r="BI491" s="173"/>
      <c r="BJ491" s="173"/>
      <c r="BK491" s="173"/>
      <c r="BL491" s="173"/>
      <c r="BM491" s="173"/>
    </row>
    <row r="492" spans="1:65">
      <c r="A492" s="181"/>
      <c r="B492" s="181"/>
      <c r="C492" s="181"/>
      <c r="D492" s="181"/>
      <c r="E492" s="181"/>
      <c r="F492" s="181"/>
      <c r="G492" s="181"/>
      <c r="H492" s="181"/>
      <c r="I492" s="181"/>
      <c r="J492" s="181"/>
      <c r="K492" s="254"/>
      <c r="L492" s="181"/>
      <c r="M492" s="181"/>
      <c r="N492" s="181"/>
      <c r="O492" s="181"/>
      <c r="P492" s="181"/>
      <c r="Q492" s="181"/>
      <c r="R492" s="181"/>
      <c r="S492" s="181"/>
      <c r="T492" s="181"/>
      <c r="U492" s="181"/>
      <c r="V492" s="181"/>
      <c r="W492" s="181"/>
      <c r="X492" s="181"/>
      <c r="Y492" s="181"/>
      <c r="Z492" s="181"/>
      <c r="AA492" s="181"/>
      <c r="AB492" s="181"/>
      <c r="AC492" s="181"/>
      <c r="AD492" s="181"/>
      <c r="AE492" s="181"/>
      <c r="AF492" s="181"/>
      <c r="AG492" s="181"/>
      <c r="AH492" s="181"/>
      <c r="AI492" s="181"/>
      <c r="AJ492" s="181"/>
      <c r="AK492" s="181"/>
      <c r="AL492" s="181"/>
      <c r="AM492" s="181"/>
      <c r="AN492" s="181"/>
      <c r="AO492" s="181"/>
      <c r="AP492" s="181"/>
      <c r="AQ492" s="181"/>
      <c r="AR492" s="181"/>
      <c r="AS492" s="181"/>
      <c r="AT492" s="181"/>
      <c r="AU492" s="181"/>
      <c r="AV492" s="181"/>
      <c r="AW492" s="181"/>
      <c r="AX492" s="181"/>
      <c r="AY492" s="181"/>
      <c r="AZ492" s="181"/>
      <c r="BA492" s="181"/>
      <c r="BB492" s="181"/>
      <c r="BC492" s="173"/>
      <c r="BD492" s="173"/>
      <c r="BE492" s="173"/>
      <c r="BF492" s="173"/>
      <c r="BG492" s="173"/>
      <c r="BH492" s="173"/>
      <c r="BI492" s="173"/>
      <c r="BJ492" s="173"/>
      <c r="BK492" s="173"/>
      <c r="BL492" s="173"/>
      <c r="BM492" s="173"/>
    </row>
    <row r="493" spans="1:65">
      <c r="A493" s="181"/>
      <c r="B493" s="181"/>
      <c r="C493" s="181"/>
      <c r="D493" s="181"/>
      <c r="E493" s="181"/>
      <c r="F493" s="181"/>
      <c r="G493" s="181"/>
      <c r="H493" s="181"/>
      <c r="I493" s="181"/>
      <c r="J493" s="181"/>
      <c r="K493" s="254"/>
      <c r="L493" s="181"/>
      <c r="M493" s="181"/>
      <c r="N493" s="181"/>
      <c r="O493" s="181"/>
      <c r="P493" s="181"/>
      <c r="Q493" s="181"/>
      <c r="R493" s="181"/>
      <c r="S493" s="181"/>
      <c r="T493" s="181"/>
      <c r="U493" s="181"/>
      <c r="V493" s="181"/>
      <c r="W493" s="181"/>
      <c r="X493" s="181"/>
      <c r="Y493" s="181"/>
      <c r="Z493" s="181"/>
      <c r="AA493" s="181"/>
      <c r="AB493" s="181"/>
      <c r="AC493" s="181"/>
      <c r="AD493" s="181"/>
      <c r="AE493" s="181"/>
      <c r="AF493" s="181"/>
      <c r="AG493" s="181"/>
      <c r="AH493" s="181"/>
      <c r="AI493" s="181"/>
      <c r="AJ493" s="181"/>
      <c r="AK493" s="181"/>
      <c r="AL493" s="181"/>
      <c r="AM493" s="181"/>
      <c r="AN493" s="181"/>
      <c r="AO493" s="181"/>
      <c r="AP493" s="181"/>
      <c r="AQ493" s="181"/>
      <c r="AR493" s="181"/>
      <c r="AS493" s="181"/>
      <c r="AT493" s="181"/>
      <c r="AU493" s="181"/>
      <c r="AV493" s="181"/>
      <c r="AW493" s="181"/>
      <c r="AX493" s="181"/>
      <c r="AY493" s="181"/>
      <c r="AZ493" s="181"/>
      <c r="BA493" s="181"/>
      <c r="BB493" s="181"/>
      <c r="BC493" s="173"/>
      <c r="BD493" s="173"/>
      <c r="BE493" s="173"/>
      <c r="BF493" s="173"/>
      <c r="BG493" s="173"/>
      <c r="BH493" s="173"/>
      <c r="BI493" s="173"/>
      <c r="BJ493" s="173"/>
      <c r="BK493" s="173"/>
      <c r="BL493" s="173"/>
      <c r="BM493" s="173"/>
    </row>
    <row r="494" spans="1:65">
      <c r="A494" s="181"/>
      <c r="B494" s="181"/>
      <c r="C494" s="181"/>
      <c r="D494" s="181"/>
      <c r="E494" s="181"/>
      <c r="F494" s="181"/>
      <c r="G494" s="181"/>
      <c r="H494" s="181"/>
      <c r="I494" s="181"/>
      <c r="J494" s="181"/>
      <c r="K494" s="254"/>
      <c r="L494" s="181"/>
      <c r="M494" s="181"/>
      <c r="N494" s="181"/>
      <c r="O494" s="181"/>
      <c r="P494" s="181"/>
      <c r="Q494" s="181"/>
      <c r="R494" s="181"/>
      <c r="S494" s="181"/>
      <c r="T494" s="181"/>
      <c r="U494" s="181"/>
      <c r="V494" s="181"/>
      <c r="W494" s="181"/>
      <c r="X494" s="181"/>
      <c r="Y494" s="181"/>
      <c r="Z494" s="181"/>
      <c r="AA494" s="181"/>
      <c r="AB494" s="181"/>
      <c r="AC494" s="181"/>
      <c r="AD494" s="181"/>
      <c r="AE494" s="181"/>
      <c r="AF494" s="181"/>
      <c r="AG494" s="181"/>
      <c r="AH494" s="181"/>
      <c r="AI494" s="181"/>
      <c r="AJ494" s="181"/>
      <c r="AK494" s="181"/>
      <c r="AL494" s="181"/>
      <c r="AM494" s="181"/>
      <c r="AN494" s="181"/>
      <c r="AO494" s="181"/>
      <c r="AP494" s="181"/>
      <c r="AQ494" s="181"/>
      <c r="AR494" s="181"/>
      <c r="AS494" s="181"/>
      <c r="AT494" s="181"/>
      <c r="AU494" s="181"/>
      <c r="AV494" s="181"/>
      <c r="AW494" s="181"/>
      <c r="AX494" s="181"/>
      <c r="AY494" s="181"/>
      <c r="AZ494" s="181"/>
      <c r="BA494" s="181"/>
      <c r="BB494" s="181"/>
      <c r="BC494" s="173"/>
      <c r="BD494" s="173"/>
      <c r="BE494" s="173"/>
      <c r="BF494" s="173"/>
      <c r="BG494" s="173"/>
      <c r="BH494" s="173"/>
      <c r="BI494" s="173"/>
      <c r="BJ494" s="173"/>
      <c r="BK494" s="173"/>
      <c r="BL494" s="173"/>
      <c r="BM494" s="173"/>
    </row>
    <row r="495" spans="1:65">
      <c r="A495" s="181"/>
      <c r="B495" s="181"/>
      <c r="C495" s="181"/>
      <c r="D495" s="181"/>
      <c r="E495" s="181"/>
      <c r="F495" s="181"/>
      <c r="G495" s="181"/>
      <c r="H495" s="181"/>
      <c r="I495" s="181"/>
      <c r="J495" s="181"/>
      <c r="K495" s="254"/>
      <c r="L495" s="181"/>
      <c r="M495" s="181"/>
      <c r="N495" s="181"/>
      <c r="O495" s="181"/>
      <c r="P495" s="181"/>
      <c r="Q495" s="181"/>
      <c r="R495" s="181"/>
      <c r="S495" s="181"/>
      <c r="T495" s="181"/>
      <c r="U495" s="181"/>
      <c r="V495" s="181"/>
      <c r="W495" s="181"/>
      <c r="X495" s="181"/>
      <c r="Y495" s="181"/>
      <c r="Z495" s="181"/>
      <c r="AA495" s="181"/>
      <c r="AB495" s="181"/>
      <c r="AC495" s="181"/>
      <c r="AD495" s="181"/>
      <c r="AE495" s="181"/>
      <c r="AF495" s="181"/>
      <c r="AG495" s="181"/>
      <c r="AH495" s="181"/>
      <c r="AI495" s="181"/>
      <c r="AJ495" s="181"/>
      <c r="AK495" s="181"/>
      <c r="AL495" s="181"/>
      <c r="AM495" s="181"/>
      <c r="AN495" s="181"/>
      <c r="AO495" s="181"/>
      <c r="AP495" s="181"/>
      <c r="AQ495" s="181"/>
      <c r="AR495" s="181"/>
      <c r="AS495" s="181"/>
      <c r="AT495" s="181"/>
      <c r="AU495" s="181"/>
      <c r="AV495" s="181"/>
      <c r="AW495" s="181"/>
      <c r="AX495" s="181"/>
      <c r="AY495" s="181"/>
      <c r="AZ495" s="181"/>
      <c r="BA495" s="181"/>
      <c r="BB495" s="181"/>
      <c r="BC495" s="173"/>
      <c r="BD495" s="173"/>
      <c r="BE495" s="173"/>
      <c r="BF495" s="173"/>
      <c r="BG495" s="173"/>
      <c r="BH495" s="173"/>
      <c r="BI495" s="173"/>
      <c r="BJ495" s="173"/>
      <c r="BK495" s="173"/>
      <c r="BL495" s="173"/>
      <c r="BM495" s="173"/>
    </row>
    <row r="496" spans="1:65">
      <c r="A496" s="181"/>
      <c r="B496" s="181"/>
      <c r="C496" s="181"/>
      <c r="D496" s="181"/>
      <c r="E496" s="181"/>
      <c r="F496" s="181"/>
      <c r="G496" s="181"/>
      <c r="H496" s="181"/>
      <c r="I496" s="181"/>
      <c r="J496" s="181"/>
      <c r="K496" s="254"/>
      <c r="L496" s="181"/>
      <c r="M496" s="181"/>
      <c r="N496" s="181"/>
      <c r="O496" s="181"/>
      <c r="P496" s="181"/>
      <c r="Q496" s="181"/>
      <c r="R496" s="181"/>
      <c r="S496" s="181"/>
      <c r="T496" s="181"/>
      <c r="U496" s="181"/>
      <c r="V496" s="181"/>
      <c r="W496" s="181"/>
      <c r="X496" s="181"/>
      <c r="Y496" s="181"/>
      <c r="Z496" s="181"/>
      <c r="AA496" s="181"/>
      <c r="AB496" s="181"/>
      <c r="AC496" s="181"/>
      <c r="AD496" s="181"/>
      <c r="AE496" s="181"/>
      <c r="AF496" s="181"/>
      <c r="AG496" s="181"/>
      <c r="AH496" s="181"/>
      <c r="AI496" s="181"/>
      <c r="AJ496" s="181"/>
      <c r="AK496" s="181"/>
      <c r="AL496" s="181"/>
      <c r="AM496" s="181"/>
      <c r="AN496" s="181"/>
      <c r="AO496" s="181"/>
      <c r="AP496" s="181"/>
      <c r="AQ496" s="181"/>
      <c r="AR496" s="181"/>
      <c r="AS496" s="181"/>
      <c r="AT496" s="181"/>
      <c r="AU496" s="181"/>
      <c r="AV496" s="181"/>
      <c r="AW496" s="181"/>
      <c r="AX496" s="181"/>
      <c r="AY496" s="181"/>
      <c r="AZ496" s="181"/>
      <c r="BA496" s="181"/>
      <c r="BB496" s="181"/>
      <c r="BC496" s="173"/>
      <c r="BD496" s="173"/>
      <c r="BE496" s="173"/>
      <c r="BF496" s="173"/>
      <c r="BG496" s="173"/>
      <c r="BH496" s="173"/>
      <c r="BI496" s="173"/>
      <c r="BJ496" s="173"/>
      <c r="BK496" s="173"/>
      <c r="BL496" s="173"/>
      <c r="BM496" s="173"/>
    </row>
    <row r="497" spans="1:65">
      <c r="A497" s="181"/>
      <c r="B497" s="181"/>
      <c r="C497" s="181"/>
      <c r="D497" s="181"/>
      <c r="E497" s="181"/>
      <c r="F497" s="181"/>
      <c r="G497" s="181"/>
      <c r="H497" s="181"/>
      <c r="I497" s="181"/>
      <c r="J497" s="181"/>
      <c r="K497" s="254"/>
      <c r="L497" s="181"/>
      <c r="M497" s="181"/>
      <c r="N497" s="181"/>
      <c r="O497" s="181"/>
      <c r="P497" s="181"/>
      <c r="Q497" s="181"/>
      <c r="R497" s="181"/>
      <c r="S497" s="181"/>
      <c r="T497" s="181"/>
      <c r="U497" s="181"/>
      <c r="V497" s="181"/>
      <c r="W497" s="181"/>
      <c r="X497" s="181"/>
      <c r="Y497" s="181"/>
      <c r="Z497" s="181"/>
      <c r="AA497" s="181"/>
      <c r="AB497" s="181"/>
      <c r="AC497" s="181"/>
      <c r="AD497" s="181"/>
      <c r="AE497" s="181"/>
      <c r="AF497" s="181"/>
      <c r="AG497" s="181"/>
      <c r="AH497" s="181"/>
      <c r="AI497" s="181"/>
      <c r="AJ497" s="181"/>
      <c r="AK497" s="181"/>
      <c r="AL497" s="181"/>
      <c r="AM497" s="181"/>
      <c r="AN497" s="181"/>
      <c r="AO497" s="181"/>
      <c r="AP497" s="181"/>
      <c r="AQ497" s="181"/>
      <c r="AR497" s="181"/>
      <c r="AS497" s="181"/>
      <c r="AT497" s="181"/>
      <c r="AU497" s="181"/>
      <c r="AV497" s="181"/>
      <c r="AW497" s="181"/>
      <c r="AX497" s="181"/>
      <c r="AY497" s="181"/>
      <c r="AZ497" s="181"/>
      <c r="BA497" s="181"/>
      <c r="BB497" s="181"/>
      <c r="BC497" s="173"/>
      <c r="BD497" s="173"/>
      <c r="BE497" s="173"/>
      <c r="BF497" s="173"/>
      <c r="BG497" s="173"/>
      <c r="BH497" s="173"/>
      <c r="BI497" s="173"/>
      <c r="BJ497" s="173"/>
      <c r="BK497" s="173"/>
      <c r="BL497" s="173"/>
      <c r="BM497" s="173"/>
    </row>
    <row r="498" spans="1:65">
      <c r="A498" s="181"/>
      <c r="B498" s="181"/>
      <c r="C498" s="181"/>
      <c r="D498" s="181"/>
      <c r="E498" s="181"/>
      <c r="F498" s="181"/>
      <c r="G498" s="181"/>
      <c r="H498" s="181"/>
      <c r="I498" s="181"/>
      <c r="J498" s="181"/>
      <c r="K498" s="254"/>
      <c r="L498" s="181"/>
      <c r="M498" s="181"/>
      <c r="N498" s="181"/>
      <c r="O498" s="181"/>
      <c r="P498" s="181"/>
      <c r="Q498" s="181"/>
      <c r="R498" s="181"/>
      <c r="S498" s="181"/>
      <c r="T498" s="181"/>
      <c r="U498" s="181"/>
      <c r="V498" s="181"/>
      <c r="W498" s="181"/>
      <c r="X498" s="181"/>
      <c r="Y498" s="181"/>
      <c r="Z498" s="181"/>
      <c r="AA498" s="181"/>
      <c r="AB498" s="181"/>
      <c r="AC498" s="181"/>
      <c r="AD498" s="181"/>
      <c r="AE498" s="181"/>
      <c r="AF498" s="181"/>
      <c r="AG498" s="181"/>
      <c r="AH498" s="181"/>
      <c r="AI498" s="181"/>
      <c r="AJ498" s="181"/>
      <c r="AK498" s="181"/>
      <c r="AL498" s="181"/>
      <c r="AM498" s="181"/>
      <c r="AN498" s="181"/>
      <c r="AO498" s="181"/>
      <c r="AP498" s="181"/>
      <c r="AQ498" s="181"/>
      <c r="AR498" s="181"/>
      <c r="AS498" s="181"/>
      <c r="AT498" s="181"/>
      <c r="AU498" s="181"/>
      <c r="AV498" s="181"/>
      <c r="AW498" s="181"/>
      <c r="AX498" s="181"/>
      <c r="AY498" s="181"/>
      <c r="AZ498" s="181"/>
      <c r="BA498" s="181"/>
      <c r="BB498" s="181"/>
      <c r="BC498" s="173"/>
      <c r="BD498" s="173"/>
      <c r="BE498" s="173"/>
      <c r="BF498" s="173"/>
      <c r="BG498" s="173"/>
      <c r="BH498" s="173"/>
      <c r="BI498" s="173"/>
      <c r="BJ498" s="173"/>
      <c r="BK498" s="173"/>
      <c r="BL498" s="173"/>
      <c r="BM498" s="173"/>
    </row>
    <row r="499" spans="1:65">
      <c r="A499" s="181"/>
      <c r="B499" s="181"/>
      <c r="C499" s="181"/>
      <c r="D499" s="181"/>
      <c r="E499" s="181"/>
      <c r="F499" s="181"/>
      <c r="G499" s="181"/>
      <c r="H499" s="181"/>
      <c r="I499" s="181"/>
      <c r="J499" s="181"/>
      <c r="K499" s="254"/>
      <c r="L499" s="181"/>
      <c r="M499" s="181"/>
      <c r="N499" s="181"/>
      <c r="O499" s="181"/>
      <c r="P499" s="181"/>
      <c r="Q499" s="181"/>
      <c r="R499" s="181"/>
      <c r="S499" s="181"/>
      <c r="T499" s="181"/>
      <c r="U499" s="181"/>
      <c r="V499" s="181"/>
      <c r="W499" s="181"/>
      <c r="X499" s="181"/>
      <c r="Y499" s="181"/>
      <c r="Z499" s="181"/>
      <c r="AA499" s="181"/>
      <c r="AB499" s="181"/>
      <c r="AC499" s="181"/>
      <c r="AD499" s="181"/>
      <c r="AE499" s="181"/>
      <c r="AF499" s="181"/>
      <c r="AG499" s="181"/>
      <c r="AH499" s="181"/>
      <c r="AI499" s="181"/>
      <c r="AJ499" s="181"/>
      <c r="AK499" s="181"/>
      <c r="AL499" s="181"/>
      <c r="AM499" s="181"/>
      <c r="AN499" s="181"/>
      <c r="AO499" s="181"/>
      <c r="AP499" s="181"/>
      <c r="AQ499" s="181"/>
      <c r="AR499" s="181"/>
      <c r="AS499" s="181"/>
      <c r="AT499" s="181"/>
      <c r="AU499" s="181"/>
      <c r="AV499" s="181"/>
      <c r="AW499" s="181"/>
      <c r="AX499" s="181"/>
      <c r="AY499" s="181"/>
      <c r="AZ499" s="181"/>
      <c r="BA499" s="181"/>
      <c r="BB499" s="181"/>
      <c r="BC499" s="173"/>
      <c r="BD499" s="173"/>
      <c r="BE499" s="173"/>
      <c r="BF499" s="173"/>
      <c r="BG499" s="173"/>
      <c r="BH499" s="173"/>
      <c r="BI499" s="173"/>
      <c r="BJ499" s="173"/>
      <c r="BK499" s="173"/>
      <c r="BL499" s="173"/>
      <c r="BM499" s="173"/>
    </row>
    <row r="500" spans="1:65">
      <c r="A500" s="181"/>
      <c r="B500" s="181"/>
      <c r="C500" s="181"/>
      <c r="D500" s="181"/>
      <c r="E500" s="181"/>
      <c r="F500" s="181"/>
      <c r="G500" s="181"/>
      <c r="H500" s="181"/>
      <c r="I500" s="181"/>
      <c r="J500" s="181"/>
      <c r="K500" s="254"/>
      <c r="L500" s="181"/>
      <c r="M500" s="181"/>
      <c r="N500" s="181"/>
      <c r="O500" s="181"/>
      <c r="P500" s="181"/>
      <c r="Q500" s="181"/>
      <c r="R500" s="181"/>
      <c r="S500" s="181"/>
      <c r="T500" s="181"/>
      <c r="U500" s="181"/>
      <c r="V500" s="181"/>
      <c r="W500" s="181"/>
      <c r="X500" s="181"/>
      <c r="Y500" s="181"/>
      <c r="Z500" s="181"/>
      <c r="AA500" s="181"/>
      <c r="AB500" s="181"/>
      <c r="AC500" s="181"/>
      <c r="AD500" s="181"/>
      <c r="AE500" s="181"/>
      <c r="AF500" s="181"/>
      <c r="AG500" s="181"/>
      <c r="AH500" s="181"/>
      <c r="AI500" s="181"/>
      <c r="AJ500" s="181"/>
      <c r="AK500" s="181"/>
      <c r="AL500" s="181"/>
      <c r="AM500" s="181"/>
      <c r="AN500" s="181"/>
      <c r="AO500" s="181"/>
      <c r="AP500" s="181"/>
      <c r="AQ500" s="181"/>
      <c r="AR500" s="181"/>
      <c r="AS500" s="181"/>
      <c r="AT500" s="181"/>
      <c r="AU500" s="181"/>
      <c r="AV500" s="181"/>
      <c r="AW500" s="181"/>
      <c r="AX500" s="181"/>
      <c r="AY500" s="181"/>
      <c r="AZ500" s="181"/>
      <c r="BA500" s="181"/>
      <c r="BB500" s="181"/>
      <c r="BC500" s="173"/>
      <c r="BD500" s="173"/>
      <c r="BE500" s="173"/>
      <c r="BF500" s="173"/>
      <c r="BG500" s="173"/>
      <c r="BH500" s="173"/>
      <c r="BI500" s="173"/>
      <c r="BJ500" s="173"/>
      <c r="BK500" s="173"/>
      <c r="BL500" s="173"/>
      <c r="BM500" s="173"/>
    </row>
    <row r="501" spans="1:65">
      <c r="A501" s="181"/>
      <c r="B501" s="181"/>
      <c r="C501" s="181"/>
      <c r="D501" s="181"/>
      <c r="E501" s="181"/>
      <c r="F501" s="181"/>
      <c r="G501" s="181"/>
      <c r="H501" s="181"/>
      <c r="I501" s="181"/>
      <c r="J501" s="181"/>
      <c r="K501" s="254"/>
      <c r="L501" s="181"/>
      <c r="M501" s="181"/>
      <c r="N501" s="181"/>
      <c r="O501" s="181"/>
      <c r="P501" s="181"/>
      <c r="Q501" s="181"/>
      <c r="R501" s="181"/>
      <c r="S501" s="181"/>
      <c r="T501" s="181"/>
      <c r="U501" s="181"/>
      <c r="V501" s="181"/>
      <c r="W501" s="181"/>
      <c r="X501" s="181"/>
      <c r="Y501" s="181"/>
      <c r="Z501" s="181"/>
      <c r="AA501" s="181"/>
      <c r="AB501" s="181"/>
      <c r="AC501" s="181"/>
      <c r="AD501" s="181"/>
      <c r="AE501" s="181"/>
      <c r="AF501" s="181"/>
      <c r="AG501" s="181"/>
      <c r="AH501" s="181"/>
      <c r="AI501" s="181"/>
      <c r="AJ501" s="181"/>
      <c r="AK501" s="181"/>
      <c r="AL501" s="181"/>
      <c r="AM501" s="181"/>
      <c r="AN501" s="181"/>
      <c r="AO501" s="181"/>
      <c r="AP501" s="181"/>
      <c r="AQ501" s="181"/>
      <c r="AR501" s="181"/>
      <c r="AS501" s="181"/>
      <c r="AT501" s="181"/>
      <c r="AU501" s="181"/>
      <c r="AV501" s="181"/>
      <c r="AW501" s="181"/>
      <c r="AX501" s="181"/>
      <c r="AY501" s="181"/>
      <c r="AZ501" s="181"/>
      <c r="BA501" s="181"/>
      <c r="BB501" s="181"/>
      <c r="BC501" s="173"/>
      <c r="BD501" s="173"/>
      <c r="BE501" s="173"/>
      <c r="BF501" s="173"/>
      <c r="BG501" s="173"/>
      <c r="BH501" s="173"/>
      <c r="BI501" s="173"/>
      <c r="BJ501" s="173"/>
      <c r="BK501" s="173"/>
      <c r="BL501" s="173"/>
      <c r="BM501" s="173"/>
    </row>
    <row r="502" spans="1:65">
      <c r="A502" s="181"/>
      <c r="B502" s="181"/>
      <c r="C502" s="181"/>
      <c r="D502" s="181"/>
      <c r="E502" s="181"/>
      <c r="F502" s="181"/>
      <c r="G502" s="181"/>
      <c r="H502" s="181"/>
      <c r="I502" s="181"/>
      <c r="J502" s="181"/>
      <c r="K502" s="254"/>
      <c r="L502" s="181"/>
      <c r="M502" s="181"/>
      <c r="N502" s="181"/>
      <c r="O502" s="181"/>
      <c r="P502" s="181"/>
      <c r="Q502" s="181"/>
      <c r="R502" s="181"/>
      <c r="S502" s="181"/>
      <c r="T502" s="181"/>
      <c r="U502" s="181"/>
      <c r="V502" s="181"/>
      <c r="W502" s="181"/>
      <c r="X502" s="181"/>
      <c r="Y502" s="181"/>
      <c r="Z502" s="181"/>
      <c r="AA502" s="181"/>
      <c r="AB502" s="181"/>
      <c r="AC502" s="181"/>
      <c r="AD502" s="181"/>
      <c r="AE502" s="181"/>
      <c r="AF502" s="181"/>
      <c r="AG502" s="181"/>
      <c r="AH502" s="181"/>
      <c r="AI502" s="181"/>
      <c r="AJ502" s="181"/>
      <c r="AK502" s="181"/>
      <c r="AL502" s="181"/>
      <c r="AM502" s="181"/>
      <c r="AN502" s="181"/>
      <c r="AO502" s="181"/>
      <c r="AP502" s="181"/>
      <c r="AQ502" s="181"/>
      <c r="AR502" s="181"/>
      <c r="AS502" s="181"/>
      <c r="AT502" s="181"/>
      <c r="AU502" s="181"/>
      <c r="AV502" s="181"/>
      <c r="AW502" s="181"/>
      <c r="AX502" s="181"/>
      <c r="AY502" s="181"/>
      <c r="AZ502" s="181"/>
      <c r="BA502" s="181"/>
      <c r="BB502" s="181"/>
      <c r="BC502" s="173"/>
      <c r="BD502" s="173"/>
      <c r="BE502" s="173"/>
      <c r="BF502" s="173"/>
      <c r="BG502" s="173"/>
      <c r="BH502" s="173"/>
      <c r="BI502" s="173"/>
      <c r="BJ502" s="173"/>
      <c r="BK502" s="173"/>
      <c r="BL502" s="173"/>
      <c r="BM502" s="173"/>
    </row>
    <row r="503" spans="1:65">
      <c r="A503" s="181"/>
      <c r="B503" s="181"/>
      <c r="C503" s="181"/>
      <c r="D503" s="181"/>
      <c r="E503" s="181"/>
      <c r="F503" s="181"/>
      <c r="G503" s="181"/>
      <c r="H503" s="181"/>
      <c r="I503" s="181"/>
      <c r="J503" s="181"/>
      <c r="K503" s="254"/>
      <c r="L503" s="181"/>
      <c r="M503" s="181"/>
      <c r="N503" s="181"/>
      <c r="O503" s="181"/>
      <c r="P503" s="181"/>
      <c r="Q503" s="181"/>
      <c r="R503" s="181"/>
      <c r="S503" s="181"/>
      <c r="T503" s="181"/>
      <c r="U503" s="181"/>
      <c r="V503" s="181"/>
      <c r="W503" s="181"/>
      <c r="X503" s="181"/>
      <c r="Y503" s="181"/>
      <c r="Z503" s="181"/>
      <c r="AA503" s="181"/>
      <c r="AB503" s="181"/>
      <c r="AC503" s="181"/>
      <c r="AD503" s="181"/>
      <c r="AE503" s="181"/>
      <c r="AF503" s="181"/>
      <c r="AG503" s="181"/>
      <c r="AH503" s="181"/>
      <c r="AI503" s="181"/>
      <c r="AJ503" s="181"/>
      <c r="AK503" s="181"/>
      <c r="AL503" s="181"/>
      <c r="AM503" s="181"/>
      <c r="AN503" s="181"/>
      <c r="AO503" s="181"/>
      <c r="AP503" s="181"/>
      <c r="AQ503" s="181"/>
      <c r="AR503" s="181"/>
      <c r="AS503" s="181"/>
      <c r="AT503" s="181"/>
      <c r="AU503" s="181"/>
      <c r="AV503" s="181"/>
      <c r="AW503" s="181"/>
      <c r="AX503" s="181"/>
      <c r="AY503" s="181"/>
      <c r="AZ503" s="181"/>
      <c r="BA503" s="181"/>
      <c r="BB503" s="181"/>
      <c r="BC503" s="173"/>
      <c r="BD503" s="173"/>
      <c r="BE503" s="173"/>
      <c r="BF503" s="173"/>
      <c r="BG503" s="173"/>
      <c r="BH503" s="173"/>
      <c r="BI503" s="173"/>
      <c r="BJ503" s="173"/>
      <c r="BK503" s="173"/>
      <c r="BL503" s="173"/>
      <c r="BM503" s="173"/>
    </row>
    <row r="504" spans="1:65">
      <c r="A504" s="181"/>
      <c r="B504" s="181"/>
      <c r="C504" s="181"/>
      <c r="D504" s="181"/>
      <c r="E504" s="181"/>
      <c r="F504" s="181"/>
      <c r="G504" s="181"/>
      <c r="H504" s="181"/>
      <c r="I504" s="181"/>
      <c r="J504" s="181"/>
      <c r="K504" s="254"/>
      <c r="L504" s="181"/>
      <c r="M504" s="181"/>
      <c r="N504" s="181"/>
      <c r="O504" s="181"/>
      <c r="P504" s="181"/>
      <c r="Q504" s="181"/>
      <c r="R504" s="181"/>
      <c r="S504" s="181"/>
      <c r="T504" s="181"/>
      <c r="U504" s="181"/>
      <c r="V504" s="181"/>
      <c r="W504" s="181"/>
      <c r="X504" s="181"/>
      <c r="Y504" s="181"/>
      <c r="Z504" s="181"/>
      <c r="AA504" s="181"/>
      <c r="AB504" s="181"/>
      <c r="AC504" s="181"/>
      <c r="AD504" s="181"/>
      <c r="AE504" s="181"/>
      <c r="AF504" s="181"/>
      <c r="AG504" s="181"/>
      <c r="AH504" s="181"/>
      <c r="AI504" s="181"/>
      <c r="AJ504" s="181"/>
      <c r="AK504" s="181"/>
      <c r="AL504" s="181"/>
      <c r="AM504" s="181"/>
      <c r="AN504" s="181"/>
      <c r="AO504" s="181"/>
      <c r="AP504" s="181"/>
      <c r="AQ504" s="181"/>
      <c r="AR504" s="181"/>
      <c r="AS504" s="181"/>
      <c r="AT504" s="181"/>
      <c r="AU504" s="181"/>
      <c r="AV504" s="181"/>
      <c r="AW504" s="181"/>
      <c r="AX504" s="181"/>
      <c r="AY504" s="181"/>
      <c r="AZ504" s="181"/>
      <c r="BA504" s="181"/>
      <c r="BB504" s="181"/>
      <c r="BC504" s="173"/>
      <c r="BD504" s="173"/>
      <c r="BE504" s="173"/>
      <c r="BF504" s="173"/>
      <c r="BG504" s="173"/>
      <c r="BH504" s="173"/>
      <c r="BI504" s="173"/>
      <c r="BJ504" s="173"/>
      <c r="BK504" s="173"/>
      <c r="BL504" s="173"/>
      <c r="BM504" s="173"/>
    </row>
    <row r="505" spans="1:65">
      <c r="A505" s="181"/>
      <c r="B505" s="181"/>
      <c r="C505" s="181"/>
      <c r="D505" s="181"/>
      <c r="E505" s="181"/>
      <c r="F505" s="181"/>
      <c r="G505" s="181"/>
      <c r="H505" s="181"/>
      <c r="I505" s="181"/>
      <c r="J505" s="181"/>
      <c r="K505" s="254"/>
      <c r="L505" s="181"/>
      <c r="M505" s="181"/>
      <c r="N505" s="181"/>
      <c r="O505" s="181"/>
      <c r="P505" s="181"/>
      <c r="Q505" s="181"/>
      <c r="R505" s="181"/>
      <c r="S505" s="181"/>
      <c r="T505" s="181"/>
      <c r="U505" s="181"/>
      <c r="V505" s="181"/>
      <c r="W505" s="181"/>
      <c r="X505" s="181"/>
      <c r="Y505" s="181"/>
      <c r="Z505" s="181"/>
      <c r="AA505" s="181"/>
      <c r="AB505" s="181"/>
      <c r="AC505" s="181"/>
      <c r="AD505" s="181"/>
      <c r="AE505" s="181"/>
      <c r="AF505" s="181"/>
      <c r="AG505" s="181"/>
      <c r="AH505" s="181"/>
      <c r="AI505" s="181"/>
      <c r="AJ505" s="181"/>
      <c r="AK505" s="181"/>
      <c r="AL505" s="181"/>
      <c r="AM505" s="181"/>
      <c r="AN505" s="181"/>
      <c r="AO505" s="181"/>
      <c r="AP505" s="181"/>
      <c r="AQ505" s="181"/>
      <c r="AR505" s="181"/>
      <c r="AS505" s="181"/>
      <c r="AT505" s="181"/>
      <c r="AU505" s="181"/>
      <c r="AV505" s="181"/>
      <c r="AW505" s="181"/>
      <c r="AX505" s="181"/>
      <c r="AY505" s="181"/>
      <c r="AZ505" s="181"/>
      <c r="BA505" s="181"/>
      <c r="BB505" s="181"/>
      <c r="BC505" s="173"/>
      <c r="BD505" s="173"/>
      <c r="BE505" s="173"/>
      <c r="BF505" s="173"/>
      <c r="BG505" s="173"/>
      <c r="BH505" s="173"/>
      <c r="BI505" s="173"/>
      <c r="BJ505" s="173"/>
      <c r="BK505" s="173"/>
      <c r="BL505" s="173"/>
      <c r="BM505" s="173"/>
    </row>
    <row r="506" spans="1:65">
      <c r="A506" s="181"/>
      <c r="B506" s="181"/>
      <c r="C506" s="181"/>
      <c r="D506" s="181"/>
      <c r="E506" s="181"/>
      <c r="F506" s="181"/>
      <c r="G506" s="181"/>
      <c r="H506" s="181"/>
      <c r="I506" s="181"/>
      <c r="J506" s="181"/>
      <c r="K506" s="254"/>
      <c r="L506" s="181"/>
      <c r="M506" s="181"/>
      <c r="N506" s="181"/>
      <c r="O506" s="181"/>
      <c r="P506" s="181"/>
      <c r="Q506" s="181"/>
      <c r="R506" s="181"/>
      <c r="S506" s="181"/>
      <c r="T506" s="181"/>
      <c r="U506" s="181"/>
      <c r="V506" s="181"/>
      <c r="W506" s="181"/>
      <c r="X506" s="181"/>
      <c r="Y506" s="181"/>
      <c r="Z506" s="181"/>
      <c r="AA506" s="181"/>
      <c r="AB506" s="181"/>
      <c r="AC506" s="181"/>
      <c r="AD506" s="181"/>
      <c r="AE506" s="181"/>
      <c r="AF506" s="181"/>
      <c r="AG506" s="181"/>
      <c r="AH506" s="181"/>
      <c r="AI506" s="181"/>
      <c r="AJ506" s="181"/>
      <c r="AK506" s="181"/>
      <c r="AL506" s="181"/>
      <c r="AM506" s="181"/>
      <c r="AN506" s="181"/>
      <c r="AO506" s="181"/>
      <c r="AP506" s="181"/>
      <c r="AQ506" s="181"/>
      <c r="AR506" s="181"/>
      <c r="AS506" s="181"/>
      <c r="AT506" s="181"/>
      <c r="AU506" s="181"/>
      <c r="AV506" s="181"/>
      <c r="AW506" s="181"/>
      <c r="AX506" s="181"/>
      <c r="AY506" s="181"/>
      <c r="AZ506" s="181"/>
      <c r="BA506" s="181"/>
      <c r="BB506" s="181"/>
      <c r="BC506" s="173"/>
      <c r="BD506" s="173"/>
      <c r="BE506" s="173"/>
      <c r="BF506" s="173"/>
      <c r="BG506" s="173"/>
      <c r="BH506" s="173"/>
      <c r="BI506" s="173"/>
      <c r="BJ506" s="173"/>
      <c r="BK506" s="173"/>
      <c r="BL506" s="173"/>
      <c r="BM506" s="173"/>
    </row>
    <row r="507" spans="1:65">
      <c r="A507" s="181"/>
      <c r="B507" s="181"/>
      <c r="C507" s="181"/>
      <c r="D507" s="181"/>
      <c r="E507" s="181"/>
      <c r="F507" s="181"/>
      <c r="G507" s="181"/>
      <c r="H507" s="181"/>
      <c r="I507" s="181"/>
      <c r="J507" s="181"/>
      <c r="K507" s="254"/>
      <c r="L507" s="181"/>
      <c r="M507" s="181"/>
      <c r="N507" s="181"/>
      <c r="O507" s="181"/>
      <c r="P507" s="181"/>
      <c r="Q507" s="181"/>
      <c r="R507" s="181"/>
      <c r="S507" s="181"/>
      <c r="T507" s="181"/>
      <c r="U507" s="181"/>
      <c r="V507" s="181"/>
      <c r="W507" s="181"/>
      <c r="X507" s="181"/>
      <c r="Y507" s="181"/>
      <c r="Z507" s="181"/>
      <c r="AA507" s="181"/>
      <c r="AB507" s="181"/>
      <c r="AC507" s="181"/>
      <c r="AD507" s="181"/>
      <c r="AE507" s="181"/>
      <c r="AF507" s="181"/>
      <c r="AG507" s="181"/>
      <c r="AH507" s="181"/>
      <c r="AI507" s="181"/>
      <c r="AJ507" s="181"/>
      <c r="AK507" s="181"/>
      <c r="AL507" s="181"/>
      <c r="AM507" s="181"/>
      <c r="AN507" s="181"/>
      <c r="AO507" s="181"/>
      <c r="AP507" s="181"/>
      <c r="AQ507" s="181"/>
      <c r="AR507" s="181"/>
      <c r="AS507" s="181"/>
      <c r="AT507" s="181"/>
      <c r="AU507" s="181"/>
      <c r="AV507" s="181"/>
      <c r="AW507" s="181"/>
      <c r="AX507" s="181"/>
      <c r="AY507" s="181"/>
      <c r="AZ507" s="181"/>
      <c r="BA507" s="181"/>
      <c r="BB507" s="181"/>
      <c r="BC507" s="173"/>
      <c r="BD507" s="173"/>
      <c r="BE507" s="173"/>
      <c r="BF507" s="173"/>
      <c r="BG507" s="173"/>
      <c r="BH507" s="173"/>
      <c r="BI507" s="173"/>
      <c r="BJ507" s="173"/>
      <c r="BK507" s="173"/>
      <c r="BL507" s="173"/>
      <c r="BM507" s="173"/>
    </row>
    <row r="508" spans="1:65">
      <c r="A508" s="181"/>
      <c r="B508" s="181"/>
      <c r="C508" s="181"/>
      <c r="D508" s="181"/>
      <c r="E508" s="181"/>
      <c r="F508" s="181"/>
      <c r="G508" s="181"/>
      <c r="H508" s="181"/>
      <c r="I508" s="181"/>
      <c r="J508" s="181"/>
      <c r="K508" s="254"/>
      <c r="L508" s="181"/>
      <c r="M508" s="181"/>
      <c r="N508" s="181"/>
      <c r="O508" s="181"/>
      <c r="P508" s="181"/>
      <c r="Q508" s="181"/>
      <c r="R508" s="181"/>
      <c r="S508" s="181"/>
      <c r="T508" s="181"/>
      <c r="U508" s="181"/>
      <c r="V508" s="181"/>
      <c r="W508" s="181"/>
      <c r="X508" s="181"/>
      <c r="Y508" s="181"/>
      <c r="Z508" s="181"/>
      <c r="AA508" s="181"/>
      <c r="AB508" s="181"/>
      <c r="AC508" s="181"/>
      <c r="AD508" s="181"/>
      <c r="AE508" s="181"/>
      <c r="AF508" s="181"/>
      <c r="AG508" s="181"/>
      <c r="AH508" s="181"/>
      <c r="AI508" s="181"/>
      <c r="AJ508" s="181"/>
      <c r="AK508" s="181"/>
      <c r="AL508" s="181"/>
      <c r="AM508" s="181"/>
      <c r="AN508" s="181"/>
      <c r="AO508" s="181"/>
      <c r="AP508" s="181"/>
      <c r="AQ508" s="181"/>
      <c r="AR508" s="181"/>
      <c r="AS508" s="181"/>
      <c r="AT508" s="181"/>
      <c r="AU508" s="181"/>
      <c r="AV508" s="181"/>
      <c r="AW508" s="181"/>
      <c r="AX508" s="181"/>
      <c r="AY508" s="181"/>
      <c r="AZ508" s="181"/>
      <c r="BA508" s="181"/>
      <c r="BB508" s="181"/>
      <c r="BC508" s="173"/>
      <c r="BD508" s="173"/>
      <c r="BE508" s="173"/>
      <c r="BF508" s="173"/>
      <c r="BG508" s="173"/>
      <c r="BH508" s="173"/>
      <c r="BI508" s="173"/>
      <c r="BJ508" s="173"/>
      <c r="BK508" s="173"/>
      <c r="BL508" s="173"/>
      <c r="BM508" s="173"/>
    </row>
    <row r="509" spans="1:65">
      <c r="A509" s="181"/>
      <c r="B509" s="181"/>
      <c r="C509" s="181"/>
      <c r="D509" s="181"/>
      <c r="E509" s="181"/>
      <c r="F509" s="181"/>
      <c r="G509" s="181"/>
      <c r="H509" s="181"/>
      <c r="I509" s="181"/>
      <c r="J509" s="181"/>
      <c r="K509" s="254"/>
      <c r="L509" s="181"/>
      <c r="M509" s="181"/>
      <c r="N509" s="181"/>
      <c r="O509" s="181"/>
      <c r="P509" s="181"/>
      <c r="Q509" s="181"/>
      <c r="R509" s="181"/>
      <c r="S509" s="181"/>
      <c r="T509" s="181"/>
      <c r="U509" s="181"/>
      <c r="V509" s="181"/>
      <c r="W509" s="181"/>
      <c r="X509" s="181"/>
      <c r="Y509" s="181"/>
      <c r="Z509" s="181"/>
      <c r="AA509" s="181"/>
      <c r="AB509" s="181"/>
      <c r="AC509" s="181"/>
      <c r="AD509" s="181"/>
      <c r="AE509" s="181"/>
      <c r="AF509" s="181"/>
      <c r="AG509" s="181"/>
      <c r="AH509" s="181"/>
      <c r="AI509" s="181"/>
      <c r="AJ509" s="181"/>
      <c r="AK509" s="181"/>
      <c r="AL509" s="181"/>
      <c r="AM509" s="181"/>
      <c r="AN509" s="181"/>
      <c r="AO509" s="181"/>
      <c r="AP509" s="181"/>
      <c r="AQ509" s="181"/>
      <c r="AR509" s="181"/>
      <c r="AS509" s="181"/>
      <c r="AT509" s="181"/>
      <c r="AU509" s="181"/>
      <c r="AV509" s="181"/>
      <c r="AW509" s="181"/>
      <c r="AX509" s="181"/>
      <c r="AY509" s="181"/>
      <c r="AZ509" s="181"/>
      <c r="BA509" s="181"/>
      <c r="BB509" s="181"/>
      <c r="BC509" s="173"/>
      <c r="BD509" s="173"/>
      <c r="BE509" s="173"/>
      <c r="BF509" s="173"/>
      <c r="BG509" s="173"/>
      <c r="BH509" s="173"/>
      <c r="BI509" s="173"/>
      <c r="BJ509" s="173"/>
      <c r="BK509" s="173"/>
      <c r="BL509" s="173"/>
      <c r="BM509" s="173"/>
    </row>
    <row r="510" spans="1:65">
      <c r="A510" s="181"/>
      <c r="B510" s="181"/>
      <c r="C510" s="181"/>
      <c r="D510" s="181"/>
      <c r="E510" s="181"/>
      <c r="F510" s="181"/>
      <c r="G510" s="181"/>
      <c r="H510" s="181"/>
      <c r="I510" s="181"/>
      <c r="J510" s="181"/>
      <c r="K510" s="254"/>
      <c r="L510" s="181"/>
      <c r="M510" s="181"/>
      <c r="N510" s="181"/>
      <c r="O510" s="181"/>
      <c r="P510" s="181"/>
      <c r="Q510" s="181"/>
      <c r="R510" s="181"/>
      <c r="S510" s="181"/>
      <c r="T510" s="181"/>
      <c r="U510" s="181"/>
      <c r="V510" s="181"/>
      <c r="W510" s="181"/>
      <c r="X510" s="181"/>
      <c r="Y510" s="181"/>
      <c r="Z510" s="181"/>
      <c r="AA510" s="181"/>
      <c r="AB510" s="181"/>
      <c r="AC510" s="181"/>
      <c r="AD510" s="181"/>
      <c r="AE510" s="181"/>
      <c r="AF510" s="181"/>
      <c r="AG510" s="181"/>
      <c r="AH510" s="181"/>
      <c r="AI510" s="181"/>
      <c r="AJ510" s="181"/>
      <c r="AK510" s="181"/>
      <c r="AL510" s="181"/>
      <c r="AM510" s="181"/>
      <c r="AN510" s="181"/>
      <c r="AO510" s="181"/>
      <c r="AP510" s="181"/>
      <c r="AQ510" s="181"/>
      <c r="AR510" s="181"/>
      <c r="AS510" s="181"/>
      <c r="AT510" s="181"/>
      <c r="AU510" s="181"/>
      <c r="AV510" s="181"/>
      <c r="AW510" s="181"/>
      <c r="AX510" s="181"/>
      <c r="AY510" s="181"/>
      <c r="AZ510" s="181"/>
      <c r="BA510" s="181"/>
      <c r="BB510" s="181"/>
      <c r="BC510" s="173"/>
      <c r="BD510" s="173"/>
      <c r="BE510" s="173"/>
      <c r="BF510" s="173"/>
      <c r="BG510" s="173"/>
      <c r="BH510" s="173"/>
      <c r="BI510" s="173"/>
      <c r="BJ510" s="173"/>
      <c r="BK510" s="173"/>
      <c r="BL510" s="173"/>
      <c r="BM510" s="173"/>
    </row>
    <row r="511" spans="1:65">
      <c r="A511" s="181"/>
      <c r="B511" s="181"/>
      <c r="C511" s="181"/>
      <c r="D511" s="181"/>
      <c r="E511" s="181"/>
      <c r="F511" s="181"/>
      <c r="G511" s="181"/>
      <c r="H511" s="181"/>
      <c r="I511" s="181"/>
      <c r="J511" s="181"/>
      <c r="K511" s="254"/>
      <c r="L511" s="181"/>
      <c r="M511" s="181"/>
      <c r="N511" s="181"/>
      <c r="O511" s="181"/>
      <c r="P511" s="181"/>
      <c r="Q511" s="181"/>
      <c r="R511" s="181"/>
      <c r="S511" s="181"/>
      <c r="T511" s="181"/>
      <c r="U511" s="181"/>
      <c r="V511" s="181"/>
      <c r="W511" s="181"/>
      <c r="X511" s="181"/>
      <c r="Y511" s="181"/>
      <c r="Z511" s="181"/>
      <c r="AA511" s="181"/>
      <c r="AB511" s="181"/>
      <c r="AC511" s="181"/>
      <c r="AD511" s="181"/>
      <c r="AE511" s="181"/>
      <c r="AF511" s="181"/>
      <c r="AG511" s="181"/>
      <c r="AH511" s="181"/>
      <c r="AI511" s="181"/>
      <c r="AJ511" s="181"/>
      <c r="AK511" s="181"/>
      <c r="AL511" s="181"/>
      <c r="AM511" s="181"/>
      <c r="AN511" s="181"/>
      <c r="AO511" s="181"/>
      <c r="AP511" s="181"/>
      <c r="AQ511" s="181"/>
      <c r="AR511" s="181"/>
      <c r="AS511" s="181"/>
      <c r="AT511" s="181"/>
      <c r="AU511" s="181"/>
      <c r="AV511" s="181"/>
      <c r="AW511" s="181"/>
      <c r="AX511" s="181"/>
      <c r="AY511" s="181"/>
      <c r="AZ511" s="181"/>
      <c r="BA511" s="181"/>
      <c r="BB511" s="181"/>
      <c r="BC511" s="173"/>
      <c r="BD511" s="173"/>
      <c r="BE511" s="173"/>
      <c r="BF511" s="173"/>
      <c r="BG511" s="173"/>
      <c r="BH511" s="173"/>
      <c r="BI511" s="173"/>
      <c r="BJ511" s="173"/>
      <c r="BK511" s="173"/>
      <c r="BL511" s="173"/>
      <c r="BM511" s="173"/>
    </row>
    <row r="512" spans="1:65">
      <c r="A512" s="181"/>
      <c r="B512" s="181"/>
      <c r="C512" s="181"/>
      <c r="D512" s="181"/>
      <c r="E512" s="181"/>
      <c r="F512" s="181"/>
      <c r="G512" s="181"/>
      <c r="H512" s="181"/>
      <c r="I512" s="181"/>
      <c r="J512" s="181"/>
      <c r="K512" s="254"/>
      <c r="L512" s="181"/>
      <c r="M512" s="181"/>
      <c r="N512" s="181"/>
      <c r="O512" s="181"/>
      <c r="P512" s="181"/>
      <c r="Q512" s="181"/>
      <c r="R512" s="181"/>
      <c r="S512" s="181"/>
      <c r="T512" s="181"/>
      <c r="U512" s="181"/>
      <c r="V512" s="181"/>
      <c r="W512" s="181"/>
      <c r="X512" s="181"/>
      <c r="Y512" s="181"/>
      <c r="Z512" s="181"/>
      <c r="AA512" s="181"/>
      <c r="AB512" s="181"/>
      <c r="AC512" s="181"/>
      <c r="AD512" s="181"/>
      <c r="AE512" s="181"/>
      <c r="AF512" s="181"/>
      <c r="AG512" s="181"/>
      <c r="AH512" s="181"/>
      <c r="AI512" s="181"/>
      <c r="AJ512" s="181"/>
      <c r="AK512" s="181"/>
      <c r="AL512" s="181"/>
      <c r="AM512" s="181"/>
      <c r="AN512" s="181"/>
      <c r="AO512" s="181"/>
      <c r="AP512" s="181"/>
      <c r="AQ512" s="181"/>
      <c r="AR512" s="181"/>
      <c r="AS512" s="181"/>
      <c r="AT512" s="181"/>
      <c r="AU512" s="181"/>
      <c r="AV512" s="181"/>
      <c r="AW512" s="181"/>
      <c r="AX512" s="181"/>
      <c r="AY512" s="181"/>
      <c r="AZ512" s="181"/>
      <c r="BA512" s="181"/>
      <c r="BB512" s="181"/>
      <c r="BC512" s="173"/>
      <c r="BD512" s="173"/>
      <c r="BE512" s="173"/>
      <c r="BF512" s="173"/>
      <c r="BG512" s="173"/>
      <c r="BH512" s="173"/>
      <c r="BI512" s="173"/>
      <c r="BJ512" s="173"/>
      <c r="BK512" s="173"/>
      <c r="BL512" s="173"/>
      <c r="BM512" s="173"/>
    </row>
    <row r="513" spans="1:65">
      <c r="A513" s="181"/>
      <c r="B513" s="181"/>
      <c r="C513" s="181"/>
      <c r="D513" s="181"/>
      <c r="E513" s="181"/>
      <c r="F513" s="181"/>
      <c r="G513" s="181"/>
      <c r="H513" s="181"/>
      <c r="I513" s="181"/>
      <c r="J513" s="181"/>
      <c r="K513" s="254"/>
      <c r="L513" s="181"/>
      <c r="M513" s="181"/>
      <c r="N513" s="181"/>
      <c r="O513" s="181"/>
      <c r="P513" s="181"/>
      <c r="Q513" s="181"/>
      <c r="R513" s="181"/>
      <c r="S513" s="181"/>
      <c r="T513" s="181"/>
      <c r="U513" s="181"/>
      <c r="V513" s="181"/>
      <c r="W513" s="181"/>
      <c r="X513" s="181"/>
      <c r="Y513" s="181"/>
      <c r="Z513" s="181"/>
      <c r="AA513" s="181"/>
      <c r="AB513" s="181"/>
      <c r="AC513" s="181"/>
      <c r="AD513" s="181"/>
      <c r="AE513" s="181"/>
      <c r="AF513" s="181"/>
      <c r="AG513" s="181"/>
      <c r="AH513" s="181"/>
      <c r="AI513" s="181"/>
      <c r="AJ513" s="181"/>
      <c r="AK513" s="181"/>
      <c r="AL513" s="181"/>
      <c r="AM513" s="181"/>
      <c r="AN513" s="181"/>
      <c r="AO513" s="181"/>
      <c r="AP513" s="181"/>
      <c r="AQ513" s="181"/>
      <c r="AR513" s="181"/>
      <c r="AS513" s="181"/>
      <c r="AT513" s="181"/>
      <c r="AU513" s="181"/>
      <c r="AV513" s="181"/>
      <c r="AW513" s="181"/>
      <c r="AX513" s="181"/>
      <c r="AY513" s="181"/>
      <c r="AZ513" s="181"/>
      <c r="BA513" s="181"/>
      <c r="BB513" s="181"/>
      <c r="BC513" s="173"/>
      <c r="BD513" s="173"/>
      <c r="BE513" s="173"/>
      <c r="BF513" s="173"/>
      <c r="BG513" s="173"/>
      <c r="BH513" s="173"/>
      <c r="BI513" s="173"/>
      <c r="BJ513" s="173"/>
      <c r="BK513" s="173"/>
      <c r="BL513" s="173"/>
      <c r="BM513" s="173"/>
    </row>
    <row r="514" spans="1:65">
      <c r="A514" s="181"/>
      <c r="B514" s="181"/>
      <c r="C514" s="181"/>
      <c r="D514" s="181"/>
      <c r="E514" s="181"/>
      <c r="F514" s="181"/>
      <c r="G514" s="181"/>
      <c r="H514" s="181"/>
      <c r="I514" s="181"/>
      <c r="J514" s="181"/>
      <c r="K514" s="254"/>
      <c r="L514" s="181"/>
      <c r="M514" s="181"/>
      <c r="N514" s="181"/>
      <c r="O514" s="181"/>
      <c r="P514" s="181"/>
      <c r="Q514" s="181"/>
      <c r="R514" s="181"/>
      <c r="S514" s="181"/>
      <c r="T514" s="181"/>
      <c r="U514" s="181"/>
      <c r="V514" s="181"/>
      <c r="W514" s="181"/>
      <c r="X514" s="181"/>
      <c r="Y514" s="181"/>
      <c r="Z514" s="181"/>
      <c r="AA514" s="181"/>
      <c r="AB514" s="181"/>
      <c r="AC514" s="181"/>
      <c r="AD514" s="181"/>
      <c r="AE514" s="181"/>
      <c r="AF514" s="181"/>
      <c r="AG514" s="181"/>
      <c r="AH514" s="181"/>
      <c r="AI514" s="181"/>
      <c r="AJ514" s="181"/>
      <c r="AK514" s="181"/>
      <c r="AL514" s="181"/>
      <c r="AM514" s="181"/>
      <c r="AN514" s="181"/>
      <c r="AO514" s="181"/>
      <c r="AP514" s="181"/>
      <c r="AQ514" s="181"/>
      <c r="AR514" s="181"/>
      <c r="AS514" s="181"/>
      <c r="AT514" s="181"/>
      <c r="AU514" s="181"/>
      <c r="AV514" s="181"/>
      <c r="AW514" s="181"/>
      <c r="AX514" s="181"/>
      <c r="AY514" s="181"/>
      <c r="AZ514" s="181"/>
      <c r="BA514" s="181"/>
      <c r="BB514" s="181"/>
      <c r="BC514" s="173"/>
      <c r="BD514" s="173"/>
      <c r="BE514" s="173"/>
      <c r="BF514" s="173"/>
      <c r="BG514" s="173"/>
      <c r="BH514" s="173"/>
      <c r="BI514" s="173"/>
      <c r="BJ514" s="173"/>
      <c r="BK514" s="173"/>
      <c r="BL514" s="173"/>
      <c r="BM514" s="173"/>
    </row>
    <row r="515" spans="1:65">
      <c r="A515" s="181"/>
      <c r="B515" s="181"/>
      <c r="C515" s="181"/>
      <c r="D515" s="181"/>
      <c r="E515" s="181"/>
      <c r="F515" s="181"/>
      <c r="G515" s="181"/>
      <c r="H515" s="181"/>
      <c r="I515" s="181"/>
      <c r="J515" s="181"/>
      <c r="K515" s="254"/>
      <c r="L515" s="181"/>
      <c r="M515" s="181"/>
      <c r="N515" s="181"/>
      <c r="O515" s="181"/>
      <c r="P515" s="181"/>
      <c r="Q515" s="181"/>
      <c r="R515" s="181"/>
      <c r="S515" s="181"/>
      <c r="T515" s="181"/>
      <c r="U515" s="181"/>
      <c r="V515" s="181"/>
      <c r="W515" s="181"/>
      <c r="X515" s="181"/>
      <c r="Y515" s="181"/>
      <c r="Z515" s="181"/>
      <c r="AA515" s="181"/>
      <c r="AB515" s="181"/>
      <c r="AC515" s="181"/>
      <c r="AD515" s="181"/>
      <c r="AE515" s="181"/>
      <c r="AF515" s="181"/>
      <c r="AG515" s="181"/>
      <c r="AH515" s="181"/>
      <c r="AI515" s="181"/>
      <c r="AJ515" s="181"/>
      <c r="AK515" s="181"/>
      <c r="AL515" s="181"/>
      <c r="AM515" s="181"/>
      <c r="AN515" s="181"/>
      <c r="AO515" s="181"/>
      <c r="AP515" s="181"/>
      <c r="AQ515" s="181"/>
      <c r="AR515" s="181"/>
      <c r="AS515" s="181"/>
      <c r="AT515" s="181"/>
      <c r="AU515" s="181"/>
      <c r="AV515" s="181"/>
      <c r="AW515" s="181"/>
      <c r="AX515" s="181"/>
      <c r="AY515" s="181"/>
      <c r="AZ515" s="181"/>
      <c r="BA515" s="181"/>
      <c r="BB515" s="181"/>
      <c r="BC515" s="173"/>
      <c r="BD515" s="173"/>
      <c r="BE515" s="173"/>
      <c r="BF515" s="173"/>
      <c r="BG515" s="173"/>
      <c r="BH515" s="173"/>
      <c r="BI515" s="173"/>
      <c r="BJ515" s="173"/>
      <c r="BK515" s="173"/>
      <c r="BL515" s="173"/>
      <c r="BM515" s="173"/>
    </row>
    <row r="516" spans="1:65">
      <c r="A516" s="181"/>
      <c r="B516" s="181"/>
      <c r="C516" s="181"/>
      <c r="D516" s="181"/>
      <c r="E516" s="181"/>
      <c r="F516" s="181"/>
      <c r="G516" s="181"/>
      <c r="H516" s="181"/>
      <c r="I516" s="181"/>
      <c r="J516" s="181"/>
      <c r="K516" s="254"/>
      <c r="L516" s="181"/>
      <c r="M516" s="181"/>
      <c r="N516" s="181"/>
      <c r="O516" s="181"/>
      <c r="P516" s="181"/>
      <c r="Q516" s="181"/>
      <c r="R516" s="181"/>
      <c r="S516" s="181"/>
      <c r="T516" s="181"/>
      <c r="U516" s="181"/>
      <c r="V516" s="181"/>
      <c r="W516" s="181"/>
      <c r="X516" s="181"/>
      <c r="Y516" s="181"/>
      <c r="Z516" s="181"/>
      <c r="AA516" s="181"/>
      <c r="AB516" s="181"/>
      <c r="AC516" s="181"/>
      <c r="AD516" s="181"/>
      <c r="AE516" s="181"/>
      <c r="AF516" s="181"/>
      <c r="AG516" s="181"/>
      <c r="AH516" s="181"/>
      <c r="AI516" s="181"/>
      <c r="AJ516" s="181"/>
      <c r="AK516" s="181"/>
      <c r="AL516" s="181"/>
      <c r="AM516" s="181"/>
      <c r="AN516" s="181"/>
      <c r="AO516" s="181"/>
      <c r="AP516" s="181"/>
      <c r="AQ516" s="181"/>
      <c r="AR516" s="181"/>
      <c r="AS516" s="181"/>
      <c r="AT516" s="181"/>
      <c r="AU516" s="181"/>
      <c r="AV516" s="181"/>
      <c r="AW516" s="181"/>
      <c r="AX516" s="181"/>
      <c r="AY516" s="181"/>
      <c r="AZ516" s="181"/>
      <c r="BA516" s="181"/>
      <c r="BB516" s="181"/>
      <c r="BC516" s="173"/>
      <c r="BD516" s="173"/>
      <c r="BE516" s="173"/>
      <c r="BF516" s="173"/>
      <c r="BG516" s="173"/>
      <c r="BH516" s="173"/>
      <c r="BI516" s="173"/>
      <c r="BJ516" s="173"/>
      <c r="BK516" s="173"/>
      <c r="BL516" s="173"/>
      <c r="BM516" s="173"/>
    </row>
    <row r="517" spans="1:65">
      <c r="A517" s="181"/>
      <c r="B517" s="181"/>
      <c r="C517" s="181"/>
      <c r="D517" s="181"/>
      <c r="E517" s="181"/>
      <c r="F517" s="181"/>
      <c r="G517" s="181"/>
      <c r="H517" s="181"/>
      <c r="I517" s="181"/>
      <c r="J517" s="181"/>
      <c r="K517" s="254"/>
      <c r="L517" s="181"/>
      <c r="M517" s="181"/>
      <c r="N517" s="181"/>
      <c r="O517" s="181"/>
      <c r="P517" s="181"/>
      <c r="Q517" s="181"/>
      <c r="R517" s="181"/>
      <c r="S517" s="181"/>
      <c r="T517" s="181"/>
      <c r="U517" s="181"/>
      <c r="V517" s="181"/>
      <c r="W517" s="181"/>
      <c r="X517" s="181"/>
      <c r="Y517" s="181"/>
      <c r="Z517" s="181"/>
      <c r="AA517" s="181"/>
      <c r="AB517" s="181"/>
      <c r="AC517" s="181"/>
      <c r="AD517" s="181"/>
      <c r="AE517" s="181"/>
      <c r="AF517" s="181"/>
      <c r="AG517" s="181"/>
      <c r="AH517" s="181"/>
      <c r="AI517" s="181"/>
      <c r="AJ517" s="181"/>
      <c r="AK517" s="181"/>
      <c r="AL517" s="181"/>
      <c r="AM517" s="181"/>
      <c r="AN517" s="181"/>
      <c r="AO517" s="181"/>
      <c r="AP517" s="181"/>
      <c r="AQ517" s="181"/>
      <c r="AR517" s="181"/>
      <c r="AS517" s="181"/>
      <c r="AT517" s="181"/>
      <c r="AU517" s="181"/>
      <c r="AV517" s="181"/>
      <c r="AW517" s="181"/>
      <c r="AX517" s="181"/>
      <c r="AY517" s="181"/>
      <c r="AZ517" s="181"/>
      <c r="BA517" s="181"/>
      <c r="BB517" s="181"/>
      <c r="BC517" s="173"/>
      <c r="BD517" s="173"/>
      <c r="BE517" s="173"/>
      <c r="BF517" s="173"/>
      <c r="BG517" s="173"/>
      <c r="BH517" s="173"/>
      <c r="BI517" s="173"/>
      <c r="BJ517" s="173"/>
      <c r="BK517" s="173"/>
      <c r="BL517" s="173"/>
      <c r="BM517" s="173"/>
    </row>
    <row r="518" spans="1:65">
      <c r="A518" s="181"/>
      <c r="B518" s="181"/>
      <c r="C518" s="181"/>
      <c r="D518" s="181"/>
      <c r="E518" s="181"/>
      <c r="F518" s="181"/>
      <c r="G518" s="181"/>
      <c r="H518" s="181"/>
      <c r="I518" s="181"/>
      <c r="J518" s="181"/>
      <c r="K518" s="254"/>
      <c r="L518" s="181"/>
      <c r="M518" s="181"/>
      <c r="N518" s="181"/>
      <c r="O518" s="181"/>
      <c r="P518" s="181"/>
      <c r="Q518" s="181"/>
      <c r="R518" s="181"/>
      <c r="S518" s="181"/>
      <c r="T518" s="181"/>
      <c r="U518" s="181"/>
      <c r="V518" s="181"/>
      <c r="W518" s="181"/>
      <c r="X518" s="181"/>
      <c r="Y518" s="181"/>
      <c r="Z518" s="181"/>
      <c r="AA518" s="181"/>
      <c r="AB518" s="181"/>
      <c r="AC518" s="181"/>
      <c r="AD518" s="181"/>
      <c r="AE518" s="181"/>
      <c r="AF518" s="181"/>
      <c r="AG518" s="181"/>
      <c r="AH518" s="181"/>
      <c r="AI518" s="181"/>
      <c r="AJ518" s="181"/>
      <c r="AK518" s="181"/>
      <c r="AL518" s="181"/>
      <c r="AM518" s="181"/>
      <c r="AN518" s="181"/>
      <c r="AO518" s="181"/>
      <c r="AP518" s="181"/>
      <c r="AQ518" s="181"/>
      <c r="AR518" s="181"/>
      <c r="AS518" s="181"/>
      <c r="AT518" s="181"/>
      <c r="AU518" s="181"/>
      <c r="AV518" s="181"/>
      <c r="AW518" s="181"/>
      <c r="AX518" s="181"/>
      <c r="AY518" s="181"/>
      <c r="AZ518" s="181"/>
      <c r="BA518" s="181"/>
      <c r="BB518" s="181"/>
      <c r="BC518" s="173"/>
      <c r="BD518" s="173"/>
      <c r="BE518" s="173"/>
      <c r="BF518" s="173"/>
      <c r="BG518" s="173"/>
      <c r="BH518" s="173"/>
      <c r="BI518" s="173"/>
      <c r="BJ518" s="173"/>
      <c r="BK518" s="173"/>
      <c r="BL518" s="173"/>
      <c r="BM518" s="173"/>
    </row>
    <row r="519" spans="1:65">
      <c r="A519" s="181"/>
      <c r="B519" s="181"/>
      <c r="C519" s="181"/>
      <c r="D519" s="181"/>
      <c r="E519" s="181"/>
      <c r="F519" s="181"/>
      <c r="G519" s="181"/>
      <c r="H519" s="181"/>
      <c r="I519" s="181"/>
      <c r="J519" s="181"/>
      <c r="K519" s="254"/>
      <c r="L519" s="181"/>
      <c r="M519" s="181"/>
      <c r="N519" s="181"/>
      <c r="O519" s="181"/>
      <c r="P519" s="181"/>
      <c r="Q519" s="181"/>
      <c r="R519" s="181"/>
      <c r="S519" s="181"/>
      <c r="T519" s="181"/>
      <c r="U519" s="181"/>
      <c r="V519" s="181"/>
      <c r="W519" s="181"/>
      <c r="X519" s="181"/>
      <c r="Y519" s="181"/>
      <c r="Z519" s="181"/>
      <c r="AA519" s="181"/>
      <c r="AB519" s="181"/>
      <c r="AC519" s="181"/>
      <c r="AD519" s="181"/>
      <c r="AE519" s="181"/>
      <c r="AF519" s="181"/>
      <c r="AG519" s="181"/>
      <c r="AH519" s="181"/>
      <c r="AI519" s="181"/>
      <c r="AJ519" s="181"/>
      <c r="AK519" s="181"/>
      <c r="AL519" s="181"/>
      <c r="AM519" s="181"/>
      <c r="AN519" s="181"/>
      <c r="AO519" s="181"/>
      <c r="AP519" s="181"/>
      <c r="AQ519" s="181"/>
      <c r="AR519" s="181"/>
      <c r="AS519" s="181"/>
      <c r="AT519" s="181"/>
      <c r="AU519" s="181"/>
      <c r="AV519" s="181"/>
      <c r="AW519" s="181"/>
      <c r="AX519" s="181"/>
      <c r="AY519" s="181"/>
      <c r="AZ519" s="181"/>
      <c r="BA519" s="181"/>
      <c r="BB519" s="181"/>
      <c r="BC519" s="173"/>
      <c r="BD519" s="173"/>
      <c r="BE519" s="173"/>
      <c r="BF519" s="173"/>
      <c r="BG519" s="173"/>
      <c r="BH519" s="173"/>
      <c r="BI519" s="173"/>
      <c r="BJ519" s="173"/>
      <c r="BK519" s="173"/>
      <c r="BL519" s="173"/>
      <c r="BM519" s="173"/>
    </row>
    <row r="520" spans="1:65">
      <c r="A520" s="181"/>
      <c r="B520" s="181"/>
      <c r="C520" s="181"/>
      <c r="D520" s="181"/>
      <c r="E520" s="181"/>
      <c r="F520" s="181"/>
      <c r="G520" s="181"/>
      <c r="H520" s="181"/>
      <c r="I520" s="181"/>
      <c r="J520" s="181"/>
      <c r="K520" s="254"/>
      <c r="L520" s="181"/>
      <c r="M520" s="181"/>
      <c r="N520" s="181"/>
      <c r="O520" s="181"/>
      <c r="P520" s="181"/>
      <c r="Q520" s="181"/>
      <c r="R520" s="181"/>
      <c r="S520" s="181"/>
      <c r="T520" s="181"/>
      <c r="U520" s="181"/>
      <c r="V520" s="181"/>
      <c r="W520" s="181"/>
      <c r="X520" s="181"/>
      <c r="Y520" s="181"/>
      <c r="Z520" s="181"/>
      <c r="AA520" s="181"/>
      <c r="AB520" s="181"/>
      <c r="AC520" s="181"/>
      <c r="AD520" s="181"/>
      <c r="AE520" s="181"/>
      <c r="AF520" s="181"/>
      <c r="AG520" s="181"/>
      <c r="AH520" s="181"/>
      <c r="AI520" s="181"/>
      <c r="AJ520" s="181"/>
      <c r="AK520" s="181"/>
      <c r="AL520" s="181"/>
      <c r="AM520" s="181"/>
      <c r="AN520" s="181"/>
      <c r="AO520" s="181"/>
      <c r="AP520" s="181"/>
      <c r="AQ520" s="181"/>
      <c r="AR520" s="181"/>
      <c r="AS520" s="181"/>
      <c r="AT520" s="181"/>
      <c r="AU520" s="181"/>
      <c r="AV520" s="181"/>
      <c r="AW520" s="181"/>
      <c r="AX520" s="181"/>
      <c r="AY520" s="181"/>
      <c r="AZ520" s="181"/>
      <c r="BA520" s="181"/>
      <c r="BB520" s="181"/>
      <c r="BC520" s="173"/>
      <c r="BD520" s="173"/>
      <c r="BE520" s="173"/>
      <c r="BF520" s="173"/>
      <c r="BG520" s="173"/>
      <c r="BH520" s="173"/>
      <c r="BI520" s="173"/>
      <c r="BJ520" s="173"/>
      <c r="BK520" s="173"/>
      <c r="BL520" s="173"/>
      <c r="BM520" s="173"/>
    </row>
    <row r="521" spans="1:65">
      <c r="A521" s="181"/>
      <c r="B521" s="181"/>
      <c r="C521" s="181"/>
      <c r="D521" s="181"/>
      <c r="E521" s="181"/>
      <c r="F521" s="181"/>
      <c r="G521" s="181"/>
      <c r="H521" s="181"/>
      <c r="I521" s="181"/>
      <c r="J521" s="181"/>
      <c r="K521" s="254"/>
      <c r="L521" s="181"/>
      <c r="M521" s="181"/>
      <c r="N521" s="181"/>
      <c r="O521" s="181"/>
      <c r="P521" s="181"/>
      <c r="Q521" s="181"/>
      <c r="R521" s="181"/>
      <c r="S521" s="181"/>
      <c r="T521" s="181"/>
      <c r="U521" s="181"/>
      <c r="V521" s="181"/>
      <c r="W521" s="181"/>
      <c r="X521" s="181"/>
      <c r="Y521" s="181"/>
      <c r="Z521" s="181"/>
      <c r="AA521" s="181"/>
      <c r="AB521" s="181"/>
      <c r="AC521" s="181"/>
      <c r="AD521" s="181"/>
      <c r="AE521" s="181"/>
      <c r="AF521" s="181"/>
      <c r="AG521" s="181"/>
      <c r="AH521" s="181"/>
      <c r="AI521" s="181"/>
      <c r="AJ521" s="181"/>
      <c r="AK521" s="181"/>
      <c r="AL521" s="181"/>
      <c r="AM521" s="181"/>
      <c r="AN521" s="181"/>
      <c r="AO521" s="181"/>
      <c r="AP521" s="181"/>
      <c r="AQ521" s="181"/>
      <c r="AR521" s="181"/>
      <c r="AS521" s="181"/>
      <c r="AT521" s="181"/>
      <c r="AU521" s="181"/>
      <c r="AV521" s="181"/>
      <c r="AW521" s="181"/>
      <c r="AX521" s="181"/>
      <c r="AY521" s="181"/>
      <c r="AZ521" s="181"/>
      <c r="BA521" s="181"/>
      <c r="BB521" s="181"/>
      <c r="BC521" s="173"/>
      <c r="BD521" s="173"/>
      <c r="BE521" s="173"/>
      <c r="BF521" s="173"/>
      <c r="BG521" s="173"/>
      <c r="BH521" s="173"/>
      <c r="BI521" s="173"/>
      <c r="BJ521" s="173"/>
      <c r="BK521" s="173"/>
      <c r="BL521" s="173"/>
      <c r="BM521" s="173"/>
    </row>
    <row r="522" spans="1:65">
      <c r="A522" s="181"/>
      <c r="B522" s="181"/>
      <c r="C522" s="181"/>
      <c r="D522" s="181"/>
      <c r="E522" s="181"/>
      <c r="F522" s="181"/>
      <c r="G522" s="181"/>
      <c r="H522" s="181"/>
      <c r="I522" s="181"/>
      <c r="J522" s="181"/>
      <c r="K522" s="254"/>
      <c r="L522" s="181"/>
      <c r="M522" s="181"/>
      <c r="N522" s="181"/>
      <c r="O522" s="181"/>
      <c r="P522" s="181"/>
      <c r="Q522" s="181"/>
      <c r="R522" s="181"/>
      <c r="S522" s="181"/>
      <c r="T522" s="181"/>
      <c r="U522" s="181"/>
      <c r="V522" s="181"/>
      <c r="W522" s="181"/>
      <c r="X522" s="181"/>
      <c r="Y522" s="181"/>
      <c r="Z522" s="181"/>
      <c r="AA522" s="181"/>
      <c r="AB522" s="181"/>
      <c r="AC522" s="181"/>
      <c r="AD522" s="181"/>
      <c r="AE522" s="181"/>
      <c r="AF522" s="181"/>
      <c r="AG522" s="181"/>
      <c r="AH522" s="181"/>
      <c r="AI522" s="181"/>
      <c r="AJ522" s="181"/>
      <c r="AK522" s="181"/>
      <c r="AL522" s="181"/>
      <c r="AM522" s="181"/>
      <c r="AN522" s="181"/>
      <c r="AO522" s="181"/>
      <c r="AP522" s="181"/>
      <c r="AQ522" s="181"/>
      <c r="AR522" s="181"/>
      <c r="AS522" s="181"/>
      <c r="AT522" s="181"/>
      <c r="AU522" s="181"/>
      <c r="AV522" s="181"/>
      <c r="AW522" s="181"/>
      <c r="AX522" s="181"/>
      <c r="AY522" s="181"/>
      <c r="AZ522" s="181"/>
      <c r="BA522" s="181"/>
      <c r="BB522" s="181"/>
      <c r="BC522" s="173"/>
      <c r="BD522" s="173"/>
      <c r="BE522" s="173"/>
      <c r="BF522" s="173"/>
      <c r="BG522" s="173"/>
      <c r="BH522" s="173"/>
      <c r="BI522" s="173"/>
      <c r="BJ522" s="173"/>
      <c r="BK522" s="173"/>
      <c r="BL522" s="173"/>
      <c r="BM522" s="173"/>
    </row>
    <row r="523" spans="1:65">
      <c r="A523" s="181"/>
      <c r="B523" s="181"/>
      <c r="C523" s="181"/>
      <c r="D523" s="181"/>
      <c r="E523" s="181"/>
      <c r="F523" s="181"/>
      <c r="G523" s="181"/>
      <c r="H523" s="181"/>
      <c r="I523" s="181"/>
      <c r="J523" s="181"/>
      <c r="K523" s="254"/>
      <c r="L523" s="181"/>
      <c r="M523" s="181"/>
      <c r="N523" s="181"/>
      <c r="O523" s="181"/>
      <c r="P523" s="181"/>
      <c r="Q523" s="181"/>
      <c r="R523" s="181"/>
      <c r="S523" s="181"/>
      <c r="T523" s="181"/>
      <c r="U523" s="181"/>
      <c r="V523" s="181"/>
      <c r="W523" s="181"/>
      <c r="X523" s="181"/>
      <c r="Y523" s="181"/>
      <c r="Z523" s="181"/>
      <c r="AA523" s="181"/>
      <c r="AB523" s="181"/>
      <c r="AC523" s="181"/>
      <c r="AD523" s="181"/>
      <c r="AE523" s="181"/>
      <c r="AF523" s="181"/>
      <c r="AG523" s="181"/>
      <c r="AH523" s="181"/>
      <c r="AI523" s="181"/>
      <c r="AJ523" s="181"/>
      <c r="AK523" s="181"/>
      <c r="AL523" s="181"/>
      <c r="AM523" s="181"/>
      <c r="AN523" s="181"/>
      <c r="AO523" s="181"/>
      <c r="AP523" s="181"/>
      <c r="AQ523" s="181"/>
      <c r="AR523" s="181"/>
      <c r="AS523" s="181"/>
      <c r="AT523" s="181"/>
      <c r="AU523" s="181"/>
      <c r="AV523" s="181"/>
      <c r="AW523" s="181"/>
      <c r="AX523" s="181"/>
      <c r="AY523" s="181"/>
      <c r="AZ523" s="181"/>
      <c r="BA523" s="181"/>
      <c r="BB523" s="181"/>
      <c r="BC523" s="173"/>
      <c r="BD523" s="173"/>
      <c r="BE523" s="173"/>
      <c r="BF523" s="173"/>
      <c r="BG523" s="173"/>
      <c r="BH523" s="173"/>
      <c r="BI523" s="173"/>
      <c r="BJ523" s="173"/>
      <c r="BK523" s="173"/>
      <c r="BL523" s="173"/>
      <c r="BM523" s="173"/>
    </row>
    <row r="524" spans="1:65">
      <c r="A524" s="181"/>
      <c r="B524" s="181"/>
      <c r="C524" s="181"/>
      <c r="D524" s="181"/>
      <c r="E524" s="181"/>
      <c r="F524" s="181"/>
      <c r="G524" s="181"/>
      <c r="H524" s="181"/>
      <c r="I524" s="181"/>
      <c r="J524" s="181"/>
      <c r="K524" s="254"/>
      <c r="L524" s="181"/>
      <c r="M524" s="181"/>
      <c r="N524" s="181"/>
      <c r="O524" s="181"/>
      <c r="P524" s="181"/>
      <c r="Q524" s="181"/>
      <c r="R524" s="181"/>
      <c r="S524" s="181"/>
      <c r="T524" s="181"/>
      <c r="U524" s="181"/>
      <c r="V524" s="181"/>
      <c r="W524" s="181"/>
      <c r="X524" s="181"/>
      <c r="Y524" s="181"/>
      <c r="Z524" s="181"/>
      <c r="AA524" s="181"/>
      <c r="AB524" s="181"/>
      <c r="AC524" s="181"/>
      <c r="AD524" s="181"/>
      <c r="AE524" s="181"/>
      <c r="AF524" s="181"/>
      <c r="AG524" s="181"/>
      <c r="AH524" s="181"/>
      <c r="AI524" s="181"/>
      <c r="AJ524" s="181"/>
      <c r="AK524" s="181"/>
      <c r="AL524" s="181"/>
      <c r="AM524" s="181"/>
      <c r="AN524" s="181"/>
      <c r="AO524" s="181"/>
      <c r="AP524" s="181"/>
      <c r="AQ524" s="181"/>
      <c r="AR524" s="181"/>
      <c r="AS524" s="181"/>
      <c r="AT524" s="181"/>
      <c r="AU524" s="181"/>
      <c r="AV524" s="181"/>
      <c r="AW524" s="181"/>
      <c r="AX524" s="181"/>
      <c r="AY524" s="181"/>
      <c r="AZ524" s="181"/>
      <c r="BA524" s="181"/>
      <c r="BB524" s="181"/>
      <c r="BC524" s="173"/>
      <c r="BD524" s="173"/>
      <c r="BE524" s="173"/>
      <c r="BF524" s="173"/>
      <c r="BG524" s="173"/>
      <c r="BH524" s="173"/>
      <c r="BI524" s="173"/>
      <c r="BJ524" s="173"/>
      <c r="BK524" s="173"/>
      <c r="BL524" s="173"/>
      <c r="BM524" s="173"/>
    </row>
    <row r="525" spans="1:65">
      <c r="A525" s="181"/>
      <c r="B525" s="181"/>
      <c r="C525" s="181"/>
      <c r="D525" s="181"/>
      <c r="E525" s="181"/>
      <c r="F525" s="181"/>
      <c r="G525" s="181"/>
      <c r="H525" s="181"/>
      <c r="I525" s="181"/>
      <c r="J525" s="181"/>
      <c r="K525" s="254"/>
      <c r="L525" s="181"/>
      <c r="M525" s="181"/>
      <c r="N525" s="181"/>
      <c r="O525" s="181"/>
      <c r="P525" s="181"/>
      <c r="Q525" s="181"/>
      <c r="R525" s="181"/>
      <c r="S525" s="181"/>
      <c r="T525" s="181"/>
      <c r="U525" s="181"/>
      <c r="V525" s="181"/>
      <c r="W525" s="181"/>
      <c r="X525" s="181"/>
      <c r="Y525" s="181"/>
      <c r="Z525" s="181"/>
      <c r="AA525" s="181"/>
      <c r="AB525" s="181"/>
      <c r="AC525" s="181"/>
      <c r="AD525" s="181"/>
      <c r="AE525" s="181"/>
      <c r="AF525" s="181"/>
      <c r="AG525" s="181"/>
      <c r="AH525" s="181"/>
      <c r="AI525" s="181"/>
      <c r="AJ525" s="181"/>
      <c r="AK525" s="181"/>
      <c r="AL525" s="181"/>
      <c r="AM525" s="181"/>
      <c r="AN525" s="181"/>
      <c r="AO525" s="181"/>
      <c r="AP525" s="181"/>
      <c r="AQ525" s="181"/>
      <c r="AR525" s="181"/>
      <c r="AS525" s="181"/>
      <c r="AT525" s="181"/>
      <c r="AU525" s="181"/>
      <c r="AV525" s="181"/>
      <c r="AW525" s="181"/>
      <c r="AX525" s="181"/>
      <c r="AY525" s="181"/>
      <c r="AZ525" s="181"/>
      <c r="BA525" s="181"/>
      <c r="BB525" s="181"/>
      <c r="BC525" s="173"/>
      <c r="BD525" s="173"/>
      <c r="BE525" s="173"/>
      <c r="BF525" s="173"/>
      <c r="BG525" s="173"/>
      <c r="BH525" s="173"/>
      <c r="BI525" s="173"/>
      <c r="BJ525" s="173"/>
      <c r="BK525" s="173"/>
      <c r="BL525" s="173"/>
      <c r="BM525" s="173"/>
    </row>
    <row r="526" spans="1:65">
      <c r="A526" s="181"/>
      <c r="B526" s="181"/>
      <c r="C526" s="181"/>
      <c r="D526" s="181"/>
      <c r="E526" s="181"/>
      <c r="F526" s="181"/>
      <c r="G526" s="181"/>
      <c r="H526" s="181"/>
      <c r="I526" s="181"/>
      <c r="J526" s="181"/>
      <c r="K526" s="254"/>
      <c r="L526" s="181"/>
      <c r="M526" s="181"/>
      <c r="N526" s="181"/>
      <c r="O526" s="181"/>
      <c r="P526" s="181"/>
      <c r="Q526" s="181"/>
      <c r="R526" s="181"/>
      <c r="S526" s="181"/>
      <c r="T526" s="181"/>
      <c r="U526" s="181"/>
      <c r="V526" s="181"/>
      <c r="W526" s="181"/>
      <c r="X526" s="181"/>
      <c r="Y526" s="181"/>
      <c r="Z526" s="181"/>
      <c r="AA526" s="181"/>
      <c r="AB526" s="181"/>
      <c r="AC526" s="181"/>
      <c r="AD526" s="181"/>
      <c r="AE526" s="181"/>
      <c r="AF526" s="181"/>
      <c r="AG526" s="181"/>
      <c r="AH526" s="181"/>
      <c r="AI526" s="181"/>
      <c r="AJ526" s="181"/>
      <c r="AK526" s="181"/>
      <c r="AL526" s="181"/>
      <c r="AM526" s="181"/>
      <c r="AN526" s="181"/>
      <c r="AO526" s="181"/>
      <c r="AP526" s="181"/>
      <c r="AQ526" s="181"/>
      <c r="AR526" s="181"/>
      <c r="AS526" s="181"/>
      <c r="AT526" s="181"/>
      <c r="AU526" s="181"/>
      <c r="AV526" s="181"/>
      <c r="AW526" s="181"/>
      <c r="AX526" s="181"/>
      <c r="AY526" s="181"/>
      <c r="AZ526" s="181"/>
      <c r="BA526" s="181"/>
      <c r="BB526" s="181"/>
      <c r="BC526" s="173"/>
      <c r="BD526" s="173"/>
      <c r="BE526" s="173"/>
      <c r="BF526" s="173"/>
      <c r="BG526" s="173"/>
      <c r="BH526" s="173"/>
      <c r="BI526" s="173"/>
      <c r="BJ526" s="173"/>
      <c r="BK526" s="173"/>
      <c r="BL526" s="173"/>
      <c r="BM526" s="173"/>
    </row>
    <row r="527" spans="1:65">
      <c r="A527" s="181"/>
      <c r="B527" s="181"/>
      <c r="C527" s="181"/>
      <c r="D527" s="181"/>
      <c r="E527" s="181"/>
      <c r="F527" s="181"/>
      <c r="G527" s="181"/>
      <c r="H527" s="181"/>
      <c r="I527" s="181"/>
      <c r="J527" s="181"/>
      <c r="K527" s="254"/>
      <c r="L527" s="181"/>
      <c r="M527" s="181"/>
      <c r="N527" s="181"/>
      <c r="O527" s="181"/>
      <c r="P527" s="181"/>
      <c r="Q527" s="181"/>
      <c r="R527" s="181"/>
      <c r="S527" s="181"/>
      <c r="T527" s="181"/>
      <c r="U527" s="181"/>
      <c r="V527" s="181"/>
      <c r="W527" s="181"/>
      <c r="X527" s="181"/>
      <c r="Y527" s="181"/>
      <c r="Z527" s="181"/>
      <c r="AA527" s="181"/>
      <c r="AB527" s="181"/>
      <c r="AC527" s="181"/>
      <c r="AD527" s="181"/>
      <c r="AE527" s="181"/>
      <c r="AF527" s="181"/>
      <c r="AG527" s="181"/>
      <c r="AH527" s="181"/>
      <c r="AI527" s="181"/>
      <c r="AJ527" s="181"/>
      <c r="AK527" s="181"/>
      <c r="AL527" s="181"/>
      <c r="AM527" s="181"/>
      <c r="AN527" s="181"/>
      <c r="AO527" s="181"/>
      <c r="AP527" s="181"/>
      <c r="AQ527" s="181"/>
      <c r="AR527" s="181"/>
      <c r="AS527" s="181"/>
      <c r="AT527" s="181"/>
      <c r="AU527" s="181"/>
      <c r="AV527" s="181"/>
      <c r="AW527" s="181"/>
      <c r="AX527" s="181"/>
      <c r="AY527" s="181"/>
      <c r="AZ527" s="181"/>
      <c r="BA527" s="181"/>
      <c r="BB527" s="181"/>
      <c r="BC527" s="173"/>
      <c r="BD527" s="173"/>
      <c r="BE527" s="173"/>
      <c r="BF527" s="173"/>
      <c r="BG527" s="173"/>
      <c r="BH527" s="173"/>
      <c r="BI527" s="173"/>
      <c r="BJ527" s="173"/>
      <c r="BK527" s="173"/>
      <c r="BL527" s="173"/>
      <c r="BM527" s="173"/>
    </row>
    <row r="528" spans="1:65">
      <c r="A528" s="181"/>
      <c r="B528" s="181"/>
      <c r="C528" s="181"/>
      <c r="D528" s="181"/>
      <c r="E528" s="181"/>
      <c r="F528" s="181"/>
      <c r="G528" s="181"/>
      <c r="H528" s="181"/>
      <c r="I528" s="181"/>
      <c r="J528" s="181"/>
      <c r="K528" s="254"/>
      <c r="L528" s="181"/>
      <c r="M528" s="181"/>
      <c r="N528" s="181"/>
      <c r="O528" s="181"/>
      <c r="P528" s="181"/>
      <c r="Q528" s="181"/>
      <c r="R528" s="181"/>
      <c r="S528" s="181"/>
      <c r="T528" s="181"/>
      <c r="U528" s="181"/>
      <c r="V528" s="181"/>
      <c r="W528" s="181"/>
      <c r="X528" s="181"/>
      <c r="Y528" s="181"/>
      <c r="Z528" s="181"/>
      <c r="AA528" s="181"/>
      <c r="AB528" s="181"/>
      <c r="AC528" s="181"/>
      <c r="AD528" s="181"/>
      <c r="AE528" s="181"/>
      <c r="AF528" s="181"/>
      <c r="AG528" s="181"/>
      <c r="AH528" s="181"/>
      <c r="AI528" s="181"/>
      <c r="AJ528" s="181"/>
      <c r="AK528" s="181"/>
      <c r="AL528" s="181"/>
      <c r="AM528" s="181"/>
      <c r="AN528" s="181"/>
      <c r="AO528" s="181"/>
      <c r="AP528" s="181"/>
      <c r="AQ528" s="181"/>
      <c r="AR528" s="181"/>
      <c r="AS528" s="181"/>
      <c r="AT528" s="181"/>
      <c r="AU528" s="181"/>
      <c r="AV528" s="181"/>
      <c r="AW528" s="181"/>
      <c r="AX528" s="181"/>
      <c r="AY528" s="181"/>
      <c r="AZ528" s="181"/>
      <c r="BA528" s="181"/>
      <c r="BB528" s="181"/>
      <c r="BC528" s="173"/>
      <c r="BD528" s="173"/>
      <c r="BE528" s="173"/>
      <c r="BF528" s="173"/>
      <c r="BG528" s="173"/>
      <c r="BH528" s="173"/>
      <c r="BI528" s="173"/>
      <c r="BJ528" s="173"/>
      <c r="BK528" s="173"/>
      <c r="BL528" s="173"/>
      <c r="BM528" s="173"/>
    </row>
    <row r="529" spans="1:65">
      <c r="A529" s="181"/>
      <c r="B529" s="181"/>
      <c r="C529" s="181"/>
      <c r="D529" s="181"/>
      <c r="E529" s="181"/>
      <c r="F529" s="181"/>
      <c r="G529" s="181"/>
      <c r="H529" s="181"/>
      <c r="I529" s="181"/>
      <c r="J529" s="181"/>
      <c r="K529" s="254"/>
      <c r="L529" s="181"/>
      <c r="M529" s="181"/>
      <c r="N529" s="181"/>
      <c r="O529" s="181"/>
      <c r="P529" s="181"/>
      <c r="Q529" s="181"/>
      <c r="R529" s="181"/>
      <c r="S529" s="181"/>
      <c r="T529" s="181"/>
      <c r="U529" s="181"/>
      <c r="V529" s="181"/>
      <c r="W529" s="181"/>
      <c r="X529" s="181"/>
      <c r="Y529" s="181"/>
      <c r="Z529" s="181"/>
      <c r="AA529" s="181"/>
      <c r="AB529" s="181"/>
      <c r="AC529" s="181"/>
      <c r="AD529" s="181"/>
      <c r="AE529" s="181"/>
      <c r="AF529" s="181"/>
      <c r="AG529" s="181"/>
      <c r="AH529" s="181"/>
      <c r="AI529" s="181"/>
      <c r="AJ529" s="181"/>
      <c r="AK529" s="181"/>
      <c r="AL529" s="181"/>
      <c r="AM529" s="181"/>
      <c r="AN529" s="181"/>
      <c r="AO529" s="181"/>
      <c r="AP529" s="181"/>
      <c r="AQ529" s="181"/>
      <c r="AR529" s="181"/>
      <c r="AS529" s="181"/>
      <c r="AT529" s="181"/>
      <c r="AU529" s="181"/>
      <c r="AV529" s="181"/>
      <c r="AW529" s="181"/>
      <c r="AX529" s="181"/>
      <c r="AY529" s="181"/>
      <c r="AZ529" s="181"/>
      <c r="BA529" s="181"/>
      <c r="BB529" s="181"/>
      <c r="BC529" s="173"/>
      <c r="BD529" s="173"/>
      <c r="BE529" s="173"/>
      <c r="BF529" s="173"/>
      <c r="BG529" s="173"/>
      <c r="BH529" s="173"/>
      <c r="BI529" s="173"/>
      <c r="BJ529" s="173"/>
      <c r="BK529" s="173"/>
      <c r="BL529" s="173"/>
      <c r="BM529" s="173"/>
    </row>
    <row r="530" spans="1:65">
      <c r="A530" s="181"/>
      <c r="B530" s="181"/>
      <c r="C530" s="181"/>
      <c r="D530" s="181"/>
      <c r="E530" s="181"/>
      <c r="F530" s="181"/>
      <c r="G530" s="181"/>
      <c r="H530" s="181"/>
      <c r="I530" s="181"/>
      <c r="J530" s="181"/>
      <c r="K530" s="254"/>
      <c r="L530" s="181"/>
      <c r="M530" s="181"/>
      <c r="N530" s="181"/>
      <c r="O530" s="181"/>
      <c r="P530" s="181"/>
      <c r="Q530" s="181"/>
      <c r="R530" s="181"/>
      <c r="S530" s="181"/>
      <c r="T530" s="181"/>
      <c r="U530" s="181"/>
      <c r="V530" s="181"/>
      <c r="W530" s="181"/>
      <c r="X530" s="181"/>
      <c r="Y530" s="181"/>
      <c r="Z530" s="181"/>
      <c r="AA530" s="181"/>
      <c r="AB530" s="181"/>
      <c r="AC530" s="181"/>
      <c r="AD530" s="181"/>
      <c r="AE530" s="181"/>
      <c r="AF530" s="181"/>
      <c r="AG530" s="181"/>
      <c r="AH530" s="181"/>
      <c r="AI530" s="181"/>
      <c r="AJ530" s="181"/>
      <c r="AK530" s="181"/>
      <c r="AL530" s="181"/>
      <c r="AM530" s="181"/>
      <c r="AN530" s="181"/>
      <c r="AO530" s="181"/>
      <c r="AP530" s="181"/>
      <c r="AQ530" s="181"/>
      <c r="AR530" s="181"/>
      <c r="AS530" s="181"/>
      <c r="AT530" s="181"/>
      <c r="AU530" s="181"/>
      <c r="AV530" s="181"/>
      <c r="AW530" s="181"/>
      <c r="AX530" s="181"/>
      <c r="AY530" s="181"/>
      <c r="AZ530" s="181"/>
      <c r="BA530" s="181"/>
      <c r="BB530" s="181"/>
      <c r="BC530" s="173"/>
      <c r="BD530" s="173"/>
      <c r="BE530" s="173"/>
      <c r="BF530" s="173"/>
      <c r="BG530" s="173"/>
      <c r="BH530" s="173"/>
      <c r="BI530" s="173"/>
      <c r="BJ530" s="173"/>
      <c r="BK530" s="173"/>
      <c r="BL530" s="173"/>
      <c r="BM530" s="173"/>
    </row>
    <row r="531" spans="1:65">
      <c r="A531" s="181"/>
      <c r="B531" s="181"/>
      <c r="C531" s="181"/>
      <c r="D531" s="181"/>
      <c r="E531" s="181"/>
      <c r="F531" s="181"/>
      <c r="G531" s="181"/>
      <c r="H531" s="181"/>
      <c r="I531" s="181"/>
      <c r="J531" s="181"/>
      <c r="K531" s="254"/>
      <c r="L531" s="181"/>
      <c r="M531" s="181"/>
      <c r="N531" s="181"/>
      <c r="O531" s="181"/>
      <c r="P531" s="181"/>
      <c r="Q531" s="181"/>
      <c r="R531" s="181"/>
      <c r="S531" s="181"/>
      <c r="T531" s="181"/>
      <c r="U531" s="181"/>
      <c r="V531" s="181"/>
      <c r="W531" s="181"/>
      <c r="X531" s="181"/>
      <c r="Y531" s="181"/>
      <c r="Z531" s="181"/>
      <c r="AA531" s="181"/>
      <c r="AB531" s="181"/>
      <c r="AC531" s="181"/>
      <c r="AD531" s="181"/>
      <c r="AE531" s="181"/>
      <c r="AF531" s="181"/>
      <c r="AG531" s="181"/>
      <c r="AH531" s="181"/>
      <c r="AI531" s="181"/>
      <c r="AJ531" s="181"/>
      <c r="AK531" s="181"/>
      <c r="AL531" s="181"/>
      <c r="AM531" s="181"/>
      <c r="AN531" s="181"/>
      <c r="AO531" s="181"/>
      <c r="AP531" s="181"/>
      <c r="AQ531" s="181"/>
      <c r="AR531" s="181"/>
      <c r="AS531" s="181"/>
      <c r="AT531" s="181"/>
      <c r="AU531" s="181"/>
      <c r="AV531" s="181"/>
      <c r="AW531" s="181"/>
      <c r="AX531" s="181"/>
      <c r="AY531" s="181"/>
      <c r="AZ531" s="181"/>
      <c r="BA531" s="181"/>
      <c r="BB531" s="181"/>
      <c r="BC531" s="173"/>
      <c r="BD531" s="173"/>
      <c r="BE531" s="173"/>
      <c r="BF531" s="173"/>
      <c r="BG531" s="173"/>
      <c r="BH531" s="173"/>
      <c r="BI531" s="173"/>
      <c r="BJ531" s="173"/>
      <c r="BK531" s="173"/>
      <c r="BL531" s="173"/>
      <c r="BM531" s="173"/>
    </row>
    <row r="532" spans="1:65">
      <c r="A532" s="181"/>
      <c r="B532" s="181"/>
      <c r="C532" s="181"/>
      <c r="D532" s="181"/>
      <c r="E532" s="181"/>
      <c r="F532" s="181"/>
      <c r="G532" s="181"/>
      <c r="H532" s="181"/>
      <c r="I532" s="181"/>
      <c r="J532" s="181"/>
      <c r="K532" s="254"/>
      <c r="L532" s="181"/>
      <c r="M532" s="181"/>
      <c r="N532" s="181"/>
      <c r="O532" s="181"/>
      <c r="P532" s="181"/>
      <c r="Q532" s="181"/>
      <c r="R532" s="181"/>
      <c r="S532" s="181"/>
      <c r="T532" s="181"/>
      <c r="U532" s="181"/>
      <c r="V532" s="181"/>
      <c r="W532" s="181"/>
      <c r="X532" s="181"/>
      <c r="Y532" s="181"/>
      <c r="Z532" s="181"/>
      <c r="AA532" s="181"/>
      <c r="AB532" s="181"/>
      <c r="AC532" s="181"/>
      <c r="AD532" s="181"/>
      <c r="AE532" s="181"/>
      <c r="AF532" s="181"/>
      <c r="AG532" s="181"/>
      <c r="AH532" s="181"/>
      <c r="AI532" s="181"/>
      <c r="AJ532" s="181"/>
      <c r="AK532" s="181"/>
      <c r="AL532" s="181"/>
      <c r="AM532" s="181"/>
      <c r="AN532" s="181"/>
      <c r="AO532" s="181"/>
      <c r="AP532" s="181"/>
      <c r="AQ532" s="181"/>
      <c r="AR532" s="181"/>
      <c r="AS532" s="181"/>
      <c r="AT532" s="181"/>
      <c r="AU532" s="181"/>
      <c r="AV532" s="181"/>
      <c r="AW532" s="181"/>
      <c r="AX532" s="181"/>
      <c r="AY532" s="181"/>
      <c r="AZ532" s="181"/>
      <c r="BA532" s="181"/>
      <c r="BB532" s="181"/>
      <c r="BC532" s="173"/>
      <c r="BD532" s="173"/>
      <c r="BE532" s="173"/>
      <c r="BF532" s="173"/>
      <c r="BG532" s="173"/>
      <c r="BH532" s="173"/>
      <c r="BI532" s="173"/>
      <c r="BJ532" s="173"/>
      <c r="BK532" s="173"/>
      <c r="BL532" s="173"/>
      <c r="BM532" s="173"/>
    </row>
    <row r="533" spans="1:65">
      <c r="A533" s="181"/>
      <c r="B533" s="181"/>
      <c r="C533" s="181"/>
      <c r="D533" s="181"/>
      <c r="E533" s="181"/>
      <c r="F533" s="181"/>
      <c r="G533" s="181"/>
      <c r="H533" s="181"/>
      <c r="I533" s="181"/>
      <c r="J533" s="181"/>
      <c r="K533" s="254"/>
      <c r="L533" s="181"/>
      <c r="M533" s="181"/>
      <c r="N533" s="181"/>
      <c r="O533" s="181"/>
      <c r="P533" s="181"/>
      <c r="Q533" s="181"/>
      <c r="R533" s="181"/>
      <c r="S533" s="181"/>
      <c r="T533" s="181"/>
      <c r="U533" s="181"/>
      <c r="V533" s="181"/>
      <c r="W533" s="181"/>
      <c r="X533" s="181"/>
      <c r="Y533" s="181"/>
      <c r="Z533" s="181"/>
      <c r="AA533" s="181"/>
      <c r="AB533" s="181"/>
      <c r="AC533" s="181"/>
      <c r="AD533" s="181"/>
      <c r="AE533" s="181"/>
      <c r="AF533" s="181"/>
      <c r="AG533" s="181"/>
      <c r="AH533" s="181"/>
      <c r="AI533" s="181"/>
      <c r="AJ533" s="181"/>
      <c r="AK533" s="181"/>
      <c r="AL533" s="181"/>
      <c r="AM533" s="181"/>
      <c r="AN533" s="181"/>
      <c r="AO533" s="181"/>
      <c r="AP533" s="181"/>
      <c r="AQ533" s="181"/>
      <c r="AR533" s="181"/>
      <c r="AS533" s="181"/>
      <c r="AT533" s="181"/>
      <c r="AU533" s="181"/>
      <c r="AV533" s="181"/>
      <c r="AW533" s="181"/>
      <c r="AX533" s="181"/>
      <c r="AY533" s="181"/>
      <c r="AZ533" s="181"/>
      <c r="BA533" s="181"/>
      <c r="BB533" s="181"/>
      <c r="BC533" s="173"/>
      <c r="BD533" s="173"/>
      <c r="BE533" s="173"/>
      <c r="BF533" s="173"/>
      <c r="BG533" s="173"/>
      <c r="BH533" s="173"/>
      <c r="BI533" s="173"/>
      <c r="BJ533" s="173"/>
      <c r="BK533" s="173"/>
      <c r="BL533" s="173"/>
      <c r="BM533" s="173"/>
    </row>
    <row r="534" spans="1:65">
      <c r="A534" s="181"/>
      <c r="B534" s="181"/>
      <c r="C534" s="181"/>
      <c r="D534" s="181"/>
      <c r="E534" s="181"/>
      <c r="F534" s="181"/>
      <c r="G534" s="181"/>
      <c r="H534" s="181"/>
      <c r="I534" s="181"/>
      <c r="J534" s="181"/>
      <c r="K534" s="254"/>
      <c r="L534" s="181"/>
      <c r="M534" s="181"/>
      <c r="N534" s="181"/>
      <c r="O534" s="181"/>
      <c r="P534" s="181"/>
      <c r="Q534" s="181"/>
      <c r="R534" s="181"/>
      <c r="S534" s="181"/>
      <c r="T534" s="181"/>
      <c r="U534" s="181"/>
      <c r="V534" s="181"/>
      <c r="W534" s="181"/>
      <c r="X534" s="181"/>
      <c r="Y534" s="181"/>
      <c r="Z534" s="181"/>
      <c r="AA534" s="181"/>
      <c r="AB534" s="181"/>
      <c r="AC534" s="181"/>
      <c r="AD534" s="181"/>
      <c r="AE534" s="181"/>
      <c r="AF534" s="181"/>
      <c r="AG534" s="181"/>
      <c r="AH534" s="181"/>
      <c r="AI534" s="181"/>
      <c r="AJ534" s="181"/>
      <c r="AK534" s="181"/>
      <c r="AL534" s="181"/>
      <c r="AM534" s="181"/>
      <c r="AN534" s="181"/>
      <c r="AO534" s="181"/>
      <c r="AP534" s="181"/>
      <c r="AQ534" s="181"/>
      <c r="AR534" s="181"/>
      <c r="AS534" s="181"/>
      <c r="AT534" s="181"/>
      <c r="AU534" s="181"/>
      <c r="AV534" s="181"/>
      <c r="AW534" s="181"/>
      <c r="AX534" s="181"/>
      <c r="AY534" s="181"/>
      <c r="AZ534" s="181"/>
      <c r="BA534" s="181"/>
      <c r="BB534" s="181"/>
      <c r="BC534" s="173"/>
      <c r="BD534" s="173"/>
      <c r="BE534" s="173"/>
      <c r="BF534" s="173"/>
      <c r="BG534" s="173"/>
      <c r="BH534" s="173"/>
      <c r="BI534" s="173"/>
      <c r="BJ534" s="173"/>
      <c r="BK534" s="173"/>
      <c r="BL534" s="173"/>
      <c r="BM534" s="173"/>
    </row>
    <row r="535" spans="1:65">
      <c r="A535" s="181"/>
      <c r="B535" s="181"/>
      <c r="C535" s="181"/>
      <c r="D535" s="181"/>
      <c r="E535" s="181"/>
      <c r="F535" s="181"/>
      <c r="G535" s="181"/>
      <c r="H535" s="181"/>
      <c r="I535" s="181"/>
      <c r="J535" s="181"/>
      <c r="K535" s="254"/>
      <c r="L535" s="181"/>
      <c r="M535" s="181"/>
      <c r="N535" s="181"/>
      <c r="O535" s="181"/>
      <c r="P535" s="181"/>
      <c r="Q535" s="181"/>
      <c r="R535" s="181"/>
      <c r="S535" s="181"/>
      <c r="T535" s="181"/>
      <c r="U535" s="181"/>
      <c r="V535" s="181"/>
      <c r="W535" s="181"/>
      <c r="X535" s="181"/>
      <c r="Y535" s="181"/>
      <c r="Z535" s="181"/>
      <c r="AA535" s="181"/>
      <c r="AB535" s="181"/>
      <c r="AC535" s="181"/>
      <c r="AD535" s="181"/>
      <c r="AE535" s="181"/>
      <c r="AF535" s="181"/>
      <c r="AG535" s="181"/>
      <c r="AH535" s="181"/>
      <c r="AI535" s="181"/>
      <c r="AJ535" s="181"/>
      <c r="AK535" s="181"/>
      <c r="AL535" s="181"/>
      <c r="AM535" s="181"/>
      <c r="AN535" s="181"/>
      <c r="AO535" s="181"/>
      <c r="AP535" s="181"/>
      <c r="AQ535" s="181"/>
      <c r="AR535" s="181"/>
      <c r="AS535" s="181"/>
      <c r="AT535" s="181"/>
      <c r="AU535" s="181"/>
      <c r="AV535" s="181"/>
      <c r="AW535" s="181"/>
      <c r="AX535" s="181"/>
      <c r="AY535" s="181"/>
      <c r="AZ535" s="181"/>
      <c r="BA535" s="181"/>
      <c r="BB535" s="181"/>
      <c r="BC535" s="173"/>
      <c r="BD535" s="173"/>
      <c r="BE535" s="173"/>
      <c r="BF535" s="173"/>
      <c r="BG535" s="173"/>
      <c r="BH535" s="173"/>
      <c r="BI535" s="173"/>
      <c r="BJ535" s="173"/>
      <c r="BK535" s="173"/>
      <c r="BL535" s="173"/>
      <c r="BM535" s="173"/>
    </row>
    <row r="536" spans="1:65">
      <c r="A536" s="181"/>
      <c r="B536" s="181"/>
      <c r="C536" s="181"/>
      <c r="D536" s="181"/>
      <c r="E536" s="181"/>
      <c r="F536" s="181"/>
      <c r="G536" s="181"/>
      <c r="H536" s="181"/>
      <c r="I536" s="181"/>
      <c r="J536" s="181"/>
      <c r="K536" s="254"/>
      <c r="L536" s="181"/>
      <c r="M536" s="181"/>
      <c r="N536" s="181"/>
      <c r="O536" s="181"/>
      <c r="P536" s="181"/>
      <c r="Q536" s="181"/>
      <c r="R536" s="181"/>
      <c r="S536" s="181"/>
      <c r="T536" s="181"/>
      <c r="U536" s="181"/>
      <c r="V536" s="181"/>
      <c r="W536" s="181"/>
      <c r="X536" s="181"/>
      <c r="Y536" s="181"/>
      <c r="Z536" s="181"/>
      <c r="AA536" s="181"/>
      <c r="AB536" s="181"/>
      <c r="AC536" s="181"/>
      <c r="AD536" s="181"/>
      <c r="AE536" s="181"/>
      <c r="AF536" s="181"/>
      <c r="AG536" s="181"/>
      <c r="AH536" s="181"/>
      <c r="AI536" s="181"/>
      <c r="AJ536" s="181"/>
      <c r="AK536" s="181"/>
      <c r="AL536" s="181"/>
      <c r="AM536" s="181"/>
      <c r="AN536" s="181"/>
      <c r="AO536" s="181"/>
      <c r="AP536" s="181"/>
      <c r="AQ536" s="181"/>
      <c r="AR536" s="181"/>
      <c r="AS536" s="181"/>
      <c r="AT536" s="181"/>
      <c r="AU536" s="181"/>
      <c r="AV536" s="181"/>
      <c r="AW536" s="181"/>
      <c r="AX536" s="181"/>
      <c r="AY536" s="181"/>
      <c r="AZ536" s="181"/>
      <c r="BA536" s="181"/>
      <c r="BB536" s="181"/>
      <c r="BC536" s="173"/>
      <c r="BD536" s="173"/>
      <c r="BE536" s="173"/>
      <c r="BF536" s="173"/>
      <c r="BG536" s="173"/>
      <c r="BH536" s="173"/>
      <c r="BI536" s="173"/>
      <c r="BJ536" s="173"/>
      <c r="BK536" s="173"/>
      <c r="BL536" s="173"/>
      <c r="BM536" s="173"/>
    </row>
    <row r="537" spans="1:65">
      <c r="A537" s="181"/>
      <c r="B537" s="181"/>
      <c r="C537" s="181"/>
      <c r="D537" s="181"/>
      <c r="E537" s="181"/>
      <c r="F537" s="181"/>
      <c r="G537" s="181"/>
      <c r="H537" s="181"/>
      <c r="I537" s="181"/>
      <c r="J537" s="181"/>
      <c r="K537" s="254"/>
      <c r="L537" s="181"/>
      <c r="M537" s="181"/>
      <c r="N537" s="181"/>
      <c r="O537" s="181"/>
      <c r="P537" s="181"/>
      <c r="Q537" s="181"/>
      <c r="R537" s="181"/>
      <c r="S537" s="181"/>
      <c r="T537" s="181"/>
      <c r="U537" s="181"/>
      <c r="V537" s="181"/>
      <c r="W537" s="181"/>
      <c r="X537" s="181"/>
      <c r="Y537" s="181"/>
      <c r="Z537" s="181"/>
      <c r="AA537" s="181"/>
      <c r="AB537" s="181"/>
      <c r="AC537" s="181"/>
      <c r="AD537" s="181"/>
      <c r="AE537" s="181"/>
      <c r="AF537" s="181"/>
      <c r="AG537" s="181"/>
      <c r="AH537" s="181"/>
      <c r="AI537" s="181"/>
      <c r="AJ537" s="181"/>
      <c r="AK537" s="181"/>
      <c r="AL537" s="181"/>
      <c r="AM537" s="181"/>
      <c r="AN537" s="181"/>
      <c r="AO537" s="181"/>
      <c r="AP537" s="181"/>
      <c r="AQ537" s="181"/>
      <c r="AR537" s="181"/>
      <c r="AS537" s="181"/>
      <c r="AT537" s="181"/>
      <c r="AU537" s="181"/>
      <c r="AV537" s="181"/>
      <c r="AW537" s="181"/>
      <c r="AX537" s="181"/>
      <c r="AY537" s="181"/>
      <c r="AZ537" s="181"/>
      <c r="BA537" s="181"/>
      <c r="BB537" s="181"/>
      <c r="BC537" s="173"/>
      <c r="BD537" s="173"/>
      <c r="BE537" s="173"/>
      <c r="BF537" s="173"/>
      <c r="BG537" s="173"/>
      <c r="BH537" s="173"/>
      <c r="BI537" s="173"/>
      <c r="BJ537" s="173"/>
      <c r="BK537" s="173"/>
      <c r="BL537" s="173"/>
      <c r="BM537" s="173"/>
    </row>
    <row r="538" spans="1:65">
      <c r="A538" s="181"/>
      <c r="B538" s="181"/>
      <c r="C538" s="181"/>
      <c r="D538" s="181"/>
      <c r="E538" s="181"/>
      <c r="F538" s="181"/>
      <c r="G538" s="181"/>
      <c r="H538" s="181"/>
      <c r="I538" s="181"/>
      <c r="J538" s="181"/>
      <c r="K538" s="254"/>
      <c r="L538" s="181"/>
      <c r="M538" s="181"/>
      <c r="N538" s="181"/>
      <c r="O538" s="181"/>
      <c r="P538" s="181"/>
      <c r="Q538" s="181"/>
      <c r="R538" s="181"/>
      <c r="S538" s="181"/>
      <c r="T538" s="181"/>
      <c r="U538" s="181"/>
      <c r="V538" s="181"/>
      <c r="W538" s="181"/>
      <c r="X538" s="181"/>
      <c r="Y538" s="181"/>
      <c r="Z538" s="181"/>
      <c r="AA538" s="181"/>
      <c r="AB538" s="181"/>
      <c r="AC538" s="181"/>
      <c r="AD538" s="181"/>
      <c r="AE538" s="181"/>
      <c r="AF538" s="181"/>
      <c r="AG538" s="181"/>
      <c r="AH538" s="181"/>
      <c r="AI538" s="181"/>
      <c r="AJ538" s="181"/>
      <c r="AK538" s="181"/>
      <c r="AL538" s="181"/>
      <c r="AM538" s="181"/>
      <c r="AN538" s="181"/>
      <c r="AO538" s="181"/>
      <c r="AP538" s="181"/>
      <c r="AQ538" s="181"/>
      <c r="AR538" s="181"/>
      <c r="AS538" s="181"/>
      <c r="AT538" s="181"/>
      <c r="AU538" s="181"/>
      <c r="AV538" s="181"/>
      <c r="AW538" s="181"/>
      <c r="AX538" s="181"/>
      <c r="AY538" s="181"/>
      <c r="AZ538" s="181"/>
      <c r="BA538" s="181"/>
      <c r="BB538" s="181"/>
      <c r="BC538" s="173"/>
      <c r="BD538" s="173"/>
      <c r="BE538" s="173"/>
      <c r="BF538" s="173"/>
      <c r="BG538" s="173"/>
      <c r="BH538" s="173"/>
      <c r="BI538" s="173"/>
      <c r="BJ538" s="173"/>
      <c r="BK538" s="173"/>
      <c r="BL538" s="173"/>
      <c r="BM538" s="173"/>
    </row>
    <row r="539" spans="1:65">
      <c r="A539" s="181"/>
      <c r="B539" s="181"/>
      <c r="C539" s="181"/>
      <c r="D539" s="181"/>
      <c r="E539" s="181"/>
      <c r="F539" s="181"/>
      <c r="G539" s="181"/>
      <c r="H539" s="181"/>
      <c r="I539" s="181"/>
      <c r="J539" s="181"/>
      <c r="K539" s="254"/>
      <c r="L539" s="181"/>
      <c r="M539" s="181"/>
      <c r="N539" s="181"/>
      <c r="O539" s="181"/>
      <c r="P539" s="181"/>
      <c r="Q539" s="181"/>
      <c r="R539" s="181"/>
      <c r="S539" s="181"/>
      <c r="T539" s="181"/>
      <c r="U539" s="181"/>
      <c r="V539" s="181"/>
      <c r="W539" s="181"/>
      <c r="X539" s="181"/>
      <c r="Y539" s="181"/>
      <c r="Z539" s="181"/>
      <c r="AA539" s="181"/>
      <c r="AB539" s="181"/>
      <c r="AC539" s="181"/>
      <c r="AD539" s="181"/>
      <c r="AE539" s="181"/>
      <c r="AF539" s="181"/>
      <c r="AG539" s="181"/>
      <c r="AH539" s="181"/>
      <c r="AI539" s="181"/>
      <c r="AJ539" s="181"/>
      <c r="AK539" s="181"/>
      <c r="AL539" s="181"/>
      <c r="AM539" s="181"/>
      <c r="AN539" s="181"/>
      <c r="AO539" s="181"/>
      <c r="AP539" s="181"/>
      <c r="AQ539" s="181"/>
      <c r="AR539" s="181"/>
      <c r="AS539" s="181"/>
      <c r="AT539" s="181"/>
      <c r="AU539" s="181"/>
      <c r="AV539" s="181"/>
      <c r="AW539" s="181"/>
      <c r="AX539" s="181"/>
      <c r="AY539" s="181"/>
      <c r="AZ539" s="181"/>
      <c r="BA539" s="181"/>
      <c r="BB539" s="181"/>
      <c r="BC539" s="173"/>
      <c r="BD539" s="173"/>
      <c r="BE539" s="173"/>
      <c r="BF539" s="173"/>
      <c r="BG539" s="173"/>
      <c r="BH539" s="173"/>
      <c r="BI539" s="173"/>
      <c r="BJ539" s="173"/>
      <c r="BK539" s="173"/>
      <c r="BL539" s="173"/>
      <c r="BM539" s="173"/>
    </row>
    <row r="540" spans="1:65">
      <c r="A540" s="181"/>
      <c r="B540" s="181"/>
      <c r="C540" s="181"/>
      <c r="D540" s="181"/>
      <c r="E540" s="181"/>
      <c r="F540" s="181"/>
      <c r="G540" s="181"/>
      <c r="H540" s="181"/>
      <c r="I540" s="181"/>
      <c r="J540" s="181"/>
      <c r="K540" s="254"/>
      <c r="L540" s="181"/>
      <c r="M540" s="181"/>
      <c r="N540" s="181"/>
      <c r="O540" s="181"/>
      <c r="P540" s="181"/>
      <c r="Q540" s="181"/>
      <c r="R540" s="181"/>
      <c r="S540" s="181"/>
      <c r="T540" s="181"/>
      <c r="U540" s="181"/>
      <c r="V540" s="181"/>
      <c r="W540" s="181"/>
      <c r="X540" s="181"/>
      <c r="Y540" s="181"/>
      <c r="Z540" s="181"/>
      <c r="AA540" s="181"/>
      <c r="AB540" s="181"/>
      <c r="AC540" s="181"/>
      <c r="AD540" s="181"/>
      <c r="AE540" s="181"/>
      <c r="AF540" s="181"/>
      <c r="AG540" s="181"/>
      <c r="AH540" s="181"/>
      <c r="AI540" s="181"/>
      <c r="AJ540" s="181"/>
      <c r="AK540" s="181"/>
      <c r="AL540" s="181"/>
      <c r="AM540" s="181"/>
      <c r="AN540" s="181"/>
      <c r="AO540" s="181"/>
      <c r="AP540" s="181"/>
      <c r="AQ540" s="181"/>
      <c r="AR540" s="181"/>
      <c r="AS540" s="181"/>
      <c r="AT540" s="181"/>
      <c r="AU540" s="181"/>
      <c r="AV540" s="181"/>
      <c r="AW540" s="181"/>
      <c r="AX540" s="181"/>
      <c r="AY540" s="181"/>
      <c r="AZ540" s="181"/>
      <c r="BA540" s="181"/>
      <c r="BB540" s="181"/>
      <c r="BC540" s="173"/>
      <c r="BD540" s="173"/>
      <c r="BE540" s="173"/>
      <c r="BF540" s="173"/>
      <c r="BG540" s="173"/>
      <c r="BH540" s="173"/>
      <c r="BI540" s="173"/>
      <c r="BJ540" s="173"/>
      <c r="BK540" s="173"/>
      <c r="BL540" s="173"/>
      <c r="BM540" s="173"/>
    </row>
    <row r="541" spans="1:65">
      <c r="A541" s="181"/>
      <c r="B541" s="181"/>
      <c r="C541" s="181"/>
      <c r="D541" s="181"/>
      <c r="E541" s="181"/>
      <c r="F541" s="181"/>
      <c r="G541" s="181"/>
      <c r="H541" s="181"/>
      <c r="I541" s="181"/>
      <c r="J541" s="181"/>
      <c r="K541" s="254"/>
      <c r="L541" s="181"/>
      <c r="M541" s="181"/>
      <c r="N541" s="181"/>
      <c r="O541" s="181"/>
      <c r="P541" s="181"/>
      <c r="Q541" s="181"/>
      <c r="R541" s="181"/>
      <c r="S541" s="181"/>
      <c r="T541" s="181"/>
      <c r="U541" s="181"/>
      <c r="V541" s="181"/>
      <c r="W541" s="181"/>
      <c r="X541" s="181"/>
      <c r="Y541" s="181"/>
      <c r="Z541" s="181"/>
      <c r="AA541" s="181"/>
      <c r="AB541" s="181"/>
      <c r="AC541" s="181"/>
      <c r="AD541" s="181"/>
      <c r="AE541" s="181"/>
      <c r="AF541" s="181"/>
      <c r="AG541" s="181"/>
      <c r="AH541" s="181"/>
      <c r="AI541" s="181"/>
      <c r="AJ541" s="181"/>
      <c r="AK541" s="181"/>
      <c r="AL541" s="181"/>
      <c r="AM541" s="181"/>
      <c r="AN541" s="181"/>
      <c r="AO541" s="181"/>
      <c r="AP541" s="181"/>
      <c r="AQ541" s="181"/>
      <c r="AR541" s="181"/>
      <c r="AS541" s="181"/>
      <c r="AT541" s="181"/>
      <c r="AU541" s="181"/>
      <c r="AV541" s="181"/>
      <c r="AW541" s="181"/>
      <c r="AX541" s="181"/>
      <c r="AY541" s="181"/>
      <c r="AZ541" s="181"/>
      <c r="BA541" s="181"/>
      <c r="BB541" s="181"/>
      <c r="BC541" s="173"/>
      <c r="BD541" s="173"/>
      <c r="BE541" s="173"/>
      <c r="BF541" s="173"/>
      <c r="BG541" s="173"/>
      <c r="BH541" s="173"/>
      <c r="BI541" s="173"/>
      <c r="BJ541" s="173"/>
      <c r="BK541" s="173"/>
      <c r="BL541" s="173"/>
      <c r="BM541" s="173"/>
    </row>
    <row r="542" spans="1:65">
      <c r="A542" s="181"/>
      <c r="B542" s="181"/>
      <c r="C542" s="181"/>
      <c r="D542" s="181"/>
      <c r="E542" s="181"/>
      <c r="F542" s="181"/>
      <c r="G542" s="181"/>
      <c r="H542" s="181"/>
      <c r="I542" s="181"/>
      <c r="J542" s="181"/>
      <c r="K542" s="254"/>
      <c r="L542" s="181"/>
      <c r="M542" s="181"/>
      <c r="N542" s="181"/>
      <c r="O542" s="181"/>
      <c r="P542" s="181"/>
      <c r="Q542" s="181"/>
      <c r="R542" s="181"/>
      <c r="S542" s="181"/>
      <c r="T542" s="181"/>
      <c r="U542" s="181"/>
      <c r="V542" s="181"/>
      <c r="W542" s="181"/>
      <c r="X542" s="181"/>
      <c r="Y542" s="181"/>
      <c r="Z542" s="181"/>
      <c r="AA542" s="181"/>
      <c r="AB542" s="181"/>
      <c r="AC542" s="181"/>
      <c r="AD542" s="181"/>
      <c r="AE542" s="181"/>
      <c r="AF542" s="181"/>
      <c r="AG542" s="181"/>
      <c r="AH542" s="181"/>
      <c r="AI542" s="181"/>
      <c r="AJ542" s="181"/>
      <c r="AK542" s="181"/>
      <c r="AL542" s="181"/>
      <c r="AM542" s="181"/>
      <c r="AN542" s="181"/>
      <c r="AO542" s="181"/>
      <c r="AP542" s="181"/>
      <c r="AQ542" s="181"/>
      <c r="AR542" s="181"/>
      <c r="AS542" s="181"/>
      <c r="AT542" s="181"/>
      <c r="AU542" s="181"/>
      <c r="AV542" s="181"/>
      <c r="AW542" s="181"/>
      <c r="AX542" s="181"/>
      <c r="AY542" s="181"/>
      <c r="AZ542" s="181"/>
      <c r="BA542" s="181"/>
      <c r="BB542" s="181"/>
      <c r="BC542" s="173"/>
      <c r="BD542" s="173"/>
      <c r="BE542" s="173"/>
      <c r="BF542" s="173"/>
      <c r="BG542" s="173"/>
      <c r="BH542" s="173"/>
      <c r="BI542" s="173"/>
      <c r="BJ542" s="173"/>
      <c r="BK542" s="173"/>
      <c r="BL542" s="173"/>
      <c r="BM542" s="173"/>
    </row>
    <row r="543" spans="1:65">
      <c r="A543" s="181"/>
      <c r="B543" s="181"/>
      <c r="C543" s="181"/>
      <c r="D543" s="181"/>
      <c r="E543" s="181"/>
      <c r="F543" s="181"/>
      <c r="G543" s="181"/>
      <c r="H543" s="181"/>
      <c r="I543" s="181"/>
      <c r="J543" s="181"/>
      <c r="K543" s="254"/>
      <c r="L543" s="181"/>
      <c r="M543" s="181"/>
      <c r="N543" s="181"/>
      <c r="O543" s="181"/>
      <c r="P543" s="181"/>
      <c r="Q543" s="181"/>
      <c r="R543" s="181"/>
      <c r="S543" s="181"/>
      <c r="T543" s="181"/>
      <c r="U543" s="181"/>
      <c r="V543" s="181"/>
      <c r="W543" s="181"/>
      <c r="X543" s="181"/>
      <c r="Y543" s="181"/>
      <c r="Z543" s="181"/>
      <c r="AA543" s="181"/>
      <c r="AB543" s="181"/>
      <c r="AC543" s="181"/>
      <c r="AD543" s="181"/>
      <c r="AE543" s="181"/>
      <c r="AF543" s="181"/>
      <c r="AG543" s="181"/>
      <c r="AH543" s="181"/>
      <c r="AI543" s="181"/>
      <c r="AJ543" s="181"/>
      <c r="AK543" s="181"/>
      <c r="AL543" s="181"/>
      <c r="AM543" s="181"/>
      <c r="AN543" s="181"/>
      <c r="AO543" s="181"/>
      <c r="AP543" s="181"/>
      <c r="AQ543" s="181"/>
      <c r="AR543" s="181"/>
      <c r="AS543" s="181"/>
      <c r="AT543" s="181"/>
      <c r="AU543" s="181"/>
      <c r="AV543" s="181"/>
      <c r="AW543" s="181"/>
      <c r="AX543" s="181"/>
      <c r="AY543" s="181"/>
      <c r="AZ543" s="181"/>
      <c r="BA543" s="181"/>
      <c r="BB543" s="181"/>
      <c r="BC543" s="173"/>
      <c r="BD543" s="173"/>
      <c r="BE543" s="173"/>
      <c r="BF543" s="173"/>
      <c r="BG543" s="173"/>
      <c r="BH543" s="173"/>
      <c r="BI543" s="173"/>
      <c r="BJ543" s="173"/>
      <c r="BK543" s="173"/>
      <c r="BL543" s="173"/>
      <c r="BM543" s="173"/>
    </row>
    <row r="544" spans="1:65">
      <c r="A544" s="181"/>
      <c r="B544" s="181"/>
      <c r="C544" s="181"/>
      <c r="D544" s="181"/>
      <c r="E544" s="181"/>
      <c r="F544" s="181"/>
      <c r="G544" s="181"/>
      <c r="H544" s="181"/>
      <c r="I544" s="181"/>
      <c r="J544" s="181"/>
      <c r="K544" s="254"/>
      <c r="L544" s="181"/>
      <c r="M544" s="181"/>
      <c r="N544" s="181"/>
      <c r="O544" s="181"/>
      <c r="P544" s="181"/>
      <c r="Q544" s="181"/>
      <c r="R544" s="181"/>
      <c r="S544" s="181"/>
      <c r="T544" s="181"/>
      <c r="U544" s="181"/>
      <c r="V544" s="181"/>
      <c r="W544" s="181"/>
      <c r="X544" s="181"/>
      <c r="Y544" s="181"/>
      <c r="Z544" s="181"/>
      <c r="AA544" s="181"/>
      <c r="AB544" s="181"/>
      <c r="AC544" s="181"/>
      <c r="AD544" s="181"/>
      <c r="AE544" s="181"/>
      <c r="AF544" s="181"/>
      <c r="AG544" s="181"/>
      <c r="AH544" s="181"/>
      <c r="AI544" s="181"/>
      <c r="AJ544" s="181"/>
      <c r="AK544" s="181"/>
      <c r="AL544" s="181"/>
      <c r="AM544" s="181"/>
      <c r="AN544" s="181"/>
      <c r="AO544" s="181"/>
      <c r="AP544" s="181"/>
      <c r="AQ544" s="181"/>
      <c r="AR544" s="181"/>
      <c r="AS544" s="181"/>
      <c r="AT544" s="181"/>
      <c r="AU544" s="181"/>
      <c r="AV544" s="181"/>
      <c r="AW544" s="181"/>
      <c r="AX544" s="181"/>
      <c r="AY544" s="181"/>
      <c r="AZ544" s="181"/>
      <c r="BA544" s="181"/>
      <c r="BB544" s="181"/>
      <c r="BC544" s="173"/>
      <c r="BD544" s="173"/>
      <c r="BE544" s="173"/>
      <c r="BF544" s="173"/>
      <c r="BG544" s="173"/>
      <c r="BH544" s="173"/>
      <c r="BI544" s="173"/>
      <c r="BJ544" s="173"/>
      <c r="BK544" s="173"/>
      <c r="BL544" s="173"/>
      <c r="BM544" s="173"/>
    </row>
    <row r="545" spans="1:65">
      <c r="A545" s="181"/>
      <c r="B545" s="181"/>
      <c r="C545" s="181"/>
      <c r="D545" s="181"/>
      <c r="E545" s="181"/>
      <c r="F545" s="181"/>
      <c r="G545" s="181"/>
      <c r="H545" s="181"/>
      <c r="I545" s="181"/>
      <c r="J545" s="181"/>
      <c r="K545" s="254"/>
      <c r="L545" s="181"/>
      <c r="M545" s="181"/>
      <c r="N545" s="181"/>
      <c r="O545" s="181"/>
      <c r="P545" s="181"/>
      <c r="Q545" s="181"/>
      <c r="R545" s="181"/>
      <c r="S545" s="181"/>
      <c r="T545" s="181"/>
      <c r="U545" s="181"/>
      <c r="V545" s="181"/>
      <c r="W545" s="181"/>
      <c r="X545" s="181"/>
      <c r="Y545" s="181"/>
      <c r="Z545" s="181"/>
      <c r="AA545" s="181"/>
      <c r="AB545" s="181"/>
      <c r="AC545" s="181"/>
      <c r="AD545" s="181"/>
      <c r="AE545" s="181"/>
      <c r="AF545" s="181"/>
      <c r="AG545" s="181"/>
      <c r="AH545" s="181"/>
      <c r="AI545" s="181"/>
      <c r="AJ545" s="181"/>
      <c r="AK545" s="181"/>
      <c r="AL545" s="181"/>
      <c r="AM545" s="181"/>
      <c r="AN545" s="181"/>
      <c r="AO545" s="181"/>
      <c r="AP545" s="181"/>
      <c r="AQ545" s="181"/>
      <c r="AR545" s="181"/>
      <c r="AS545" s="181"/>
      <c r="AT545" s="181"/>
      <c r="AU545" s="181"/>
      <c r="AV545" s="181"/>
      <c r="AW545" s="181"/>
      <c r="AX545" s="181"/>
      <c r="AY545" s="181"/>
      <c r="AZ545" s="181"/>
      <c r="BA545" s="181"/>
      <c r="BB545" s="181"/>
      <c r="BC545" s="173"/>
      <c r="BD545" s="173"/>
      <c r="BE545" s="173"/>
      <c r="BF545" s="173"/>
      <c r="BG545" s="173"/>
      <c r="BH545" s="173"/>
      <c r="BI545" s="173"/>
      <c r="BJ545" s="173"/>
      <c r="BK545" s="173"/>
      <c r="BL545" s="173"/>
      <c r="BM545" s="173"/>
    </row>
    <row r="546" spans="1:65">
      <c r="A546" s="181"/>
      <c r="B546" s="181"/>
      <c r="C546" s="181"/>
      <c r="D546" s="181"/>
      <c r="E546" s="181"/>
      <c r="F546" s="181"/>
      <c r="G546" s="181"/>
      <c r="H546" s="181"/>
      <c r="I546" s="181"/>
      <c r="J546" s="181"/>
      <c r="K546" s="254"/>
      <c r="L546" s="181"/>
      <c r="M546" s="181"/>
      <c r="N546" s="181"/>
      <c r="O546" s="181"/>
      <c r="P546" s="181"/>
      <c r="Q546" s="181"/>
      <c r="R546" s="181"/>
      <c r="S546" s="181"/>
      <c r="T546" s="181"/>
      <c r="U546" s="181"/>
      <c r="V546" s="181"/>
      <c r="W546" s="181"/>
      <c r="X546" s="181"/>
      <c r="Y546" s="181"/>
      <c r="Z546" s="181"/>
      <c r="AA546" s="181"/>
      <c r="AB546" s="181"/>
      <c r="AC546" s="181"/>
      <c r="AD546" s="181"/>
      <c r="AE546" s="181"/>
      <c r="AF546" s="181"/>
      <c r="AG546" s="181"/>
      <c r="AH546" s="181"/>
      <c r="AI546" s="181"/>
      <c r="AJ546" s="181"/>
      <c r="AK546" s="181"/>
      <c r="AL546" s="181"/>
      <c r="AM546" s="181"/>
      <c r="AN546" s="181"/>
      <c r="AO546" s="181"/>
      <c r="AP546" s="181"/>
      <c r="AQ546" s="181"/>
      <c r="AR546" s="181"/>
      <c r="AS546" s="181"/>
      <c r="AT546" s="181"/>
      <c r="AU546" s="181"/>
      <c r="AV546" s="181"/>
      <c r="AW546" s="181"/>
      <c r="AX546" s="181"/>
      <c r="AY546" s="181"/>
      <c r="AZ546" s="181"/>
      <c r="BA546" s="181"/>
      <c r="BB546" s="181"/>
      <c r="BC546" s="173"/>
      <c r="BD546" s="173"/>
      <c r="BE546" s="173"/>
      <c r="BF546" s="173"/>
      <c r="BG546" s="173"/>
      <c r="BH546" s="173"/>
      <c r="BI546" s="173"/>
      <c r="BJ546" s="173"/>
      <c r="BK546" s="173"/>
      <c r="BL546" s="173"/>
      <c r="BM546" s="173"/>
    </row>
    <row r="547" spans="1:65">
      <c r="A547" s="181"/>
      <c r="B547" s="181"/>
      <c r="C547" s="181"/>
      <c r="D547" s="181"/>
      <c r="E547" s="181"/>
      <c r="F547" s="181"/>
      <c r="G547" s="181"/>
      <c r="H547" s="181"/>
      <c r="I547" s="181"/>
      <c r="J547" s="181"/>
      <c r="K547" s="254"/>
      <c r="L547" s="181"/>
      <c r="M547" s="181"/>
      <c r="N547" s="181"/>
      <c r="O547" s="181"/>
      <c r="P547" s="181"/>
      <c r="Q547" s="181"/>
      <c r="R547" s="181"/>
      <c r="S547" s="181"/>
      <c r="T547" s="181"/>
      <c r="U547" s="181"/>
      <c r="V547" s="181"/>
      <c r="W547" s="181"/>
      <c r="X547" s="181"/>
      <c r="Y547" s="181"/>
      <c r="Z547" s="181"/>
      <c r="AA547" s="181"/>
      <c r="AB547" s="181"/>
      <c r="AC547" s="181"/>
      <c r="AD547" s="181"/>
      <c r="AE547" s="181"/>
      <c r="AF547" s="181"/>
      <c r="AG547" s="181"/>
      <c r="AH547" s="181"/>
      <c r="AI547" s="181"/>
      <c r="AJ547" s="181"/>
      <c r="AK547" s="181"/>
      <c r="AL547" s="181"/>
      <c r="AM547" s="181"/>
      <c r="AN547" s="181"/>
      <c r="AO547" s="181"/>
      <c r="AP547" s="181"/>
      <c r="AQ547" s="181"/>
      <c r="AR547" s="181"/>
      <c r="AS547" s="181"/>
      <c r="AT547" s="181"/>
      <c r="AU547" s="181"/>
      <c r="AV547" s="181"/>
      <c r="AW547" s="181"/>
      <c r="AX547" s="181"/>
      <c r="AY547" s="181"/>
      <c r="AZ547" s="181"/>
      <c r="BA547" s="181"/>
      <c r="BB547" s="181"/>
      <c r="BC547" s="173"/>
      <c r="BD547" s="173"/>
      <c r="BE547" s="173"/>
      <c r="BF547" s="173"/>
      <c r="BG547" s="173"/>
      <c r="BH547" s="173"/>
      <c r="BI547" s="173"/>
      <c r="BJ547" s="173"/>
      <c r="BK547" s="173"/>
      <c r="BL547" s="173"/>
      <c r="BM547" s="173"/>
    </row>
    <row r="548" spans="1:65">
      <c r="A548" s="181"/>
      <c r="B548" s="181"/>
      <c r="C548" s="181"/>
      <c r="D548" s="181"/>
      <c r="E548" s="181"/>
      <c r="F548" s="181"/>
      <c r="G548" s="181"/>
      <c r="H548" s="181"/>
      <c r="I548" s="181"/>
      <c r="J548" s="181"/>
      <c r="K548" s="254"/>
      <c r="L548" s="181"/>
      <c r="M548" s="181"/>
      <c r="N548" s="181"/>
      <c r="O548" s="181"/>
      <c r="P548" s="181"/>
      <c r="Q548" s="181"/>
      <c r="R548" s="181"/>
      <c r="S548" s="181"/>
      <c r="T548" s="181"/>
      <c r="U548" s="181"/>
      <c r="V548" s="181"/>
      <c r="W548" s="181"/>
      <c r="X548" s="181"/>
      <c r="Y548" s="181"/>
      <c r="Z548" s="181"/>
      <c r="AA548" s="181"/>
      <c r="AB548" s="181"/>
      <c r="AC548" s="181"/>
      <c r="AD548" s="181"/>
      <c r="AE548" s="181"/>
      <c r="AF548" s="181"/>
      <c r="AG548" s="181"/>
      <c r="AH548" s="181"/>
      <c r="AI548" s="181"/>
      <c r="AJ548" s="181"/>
      <c r="AK548" s="181"/>
      <c r="AL548" s="181"/>
      <c r="AM548" s="181"/>
      <c r="AN548" s="181"/>
      <c r="AO548" s="181"/>
      <c r="AP548" s="181"/>
      <c r="AQ548" s="181"/>
      <c r="AR548" s="181"/>
      <c r="AS548" s="181"/>
      <c r="AT548" s="181"/>
      <c r="AU548" s="181"/>
      <c r="AV548" s="181"/>
      <c r="AW548" s="181"/>
      <c r="AX548" s="181"/>
      <c r="AY548" s="181"/>
      <c r="AZ548" s="181"/>
      <c r="BA548" s="181"/>
      <c r="BB548" s="181"/>
      <c r="BC548" s="173"/>
      <c r="BD548" s="173"/>
      <c r="BE548" s="173"/>
      <c r="BF548" s="173"/>
      <c r="BG548" s="173"/>
      <c r="BH548" s="173"/>
      <c r="BI548" s="173"/>
      <c r="BJ548" s="173"/>
      <c r="BK548" s="173"/>
      <c r="BL548" s="173"/>
      <c r="BM548" s="173"/>
    </row>
    <row r="549" spans="1:65">
      <c r="A549" s="181"/>
      <c r="B549" s="181"/>
      <c r="C549" s="181"/>
      <c r="D549" s="181"/>
      <c r="E549" s="181"/>
      <c r="F549" s="181"/>
      <c r="G549" s="181"/>
      <c r="H549" s="181"/>
      <c r="I549" s="181"/>
      <c r="J549" s="181"/>
      <c r="K549" s="254"/>
      <c r="L549" s="181"/>
      <c r="M549" s="181"/>
      <c r="N549" s="181"/>
      <c r="O549" s="181"/>
      <c r="P549" s="181"/>
      <c r="Q549" s="181"/>
      <c r="R549" s="181"/>
      <c r="S549" s="181"/>
      <c r="T549" s="181"/>
      <c r="U549" s="181"/>
      <c r="V549" s="181"/>
      <c r="W549" s="181"/>
      <c r="X549" s="181"/>
      <c r="Y549" s="181"/>
      <c r="Z549" s="181"/>
      <c r="AA549" s="181"/>
      <c r="AB549" s="181"/>
      <c r="AC549" s="181"/>
      <c r="AD549" s="181"/>
      <c r="AE549" s="181"/>
      <c r="AF549" s="181"/>
      <c r="AG549" s="181"/>
      <c r="AH549" s="181"/>
      <c r="AI549" s="181"/>
      <c r="AJ549" s="181"/>
      <c r="AK549" s="181"/>
      <c r="AL549" s="181"/>
      <c r="AM549" s="181"/>
      <c r="AN549" s="181"/>
      <c r="AO549" s="181"/>
      <c r="AP549" s="181"/>
      <c r="AQ549" s="181"/>
      <c r="AR549" s="181"/>
      <c r="AS549" s="181"/>
      <c r="AT549" s="181"/>
      <c r="AU549" s="181"/>
      <c r="AV549" s="181"/>
      <c r="AW549" s="181"/>
      <c r="AX549" s="181"/>
      <c r="AY549" s="181"/>
      <c r="AZ549" s="181"/>
      <c r="BA549" s="181"/>
      <c r="BB549" s="181"/>
      <c r="BC549" s="173"/>
      <c r="BD549" s="173"/>
      <c r="BE549" s="173"/>
      <c r="BF549" s="173"/>
      <c r="BG549" s="173"/>
      <c r="BH549" s="173"/>
      <c r="BI549" s="173"/>
      <c r="BJ549" s="173"/>
      <c r="BK549" s="173"/>
      <c r="BL549" s="173"/>
      <c r="BM549" s="173"/>
    </row>
    <row r="550" spans="1:65">
      <c r="A550" s="181"/>
      <c r="B550" s="181"/>
      <c r="C550" s="181"/>
      <c r="D550" s="181"/>
      <c r="E550" s="181"/>
      <c r="F550" s="181"/>
      <c r="G550" s="181"/>
      <c r="H550" s="181"/>
      <c r="I550" s="181"/>
      <c r="J550" s="181"/>
      <c r="K550" s="254"/>
      <c r="L550" s="181"/>
      <c r="M550" s="181"/>
      <c r="N550" s="181"/>
      <c r="O550" s="181"/>
      <c r="P550" s="181"/>
      <c r="Q550" s="181"/>
      <c r="R550" s="181"/>
      <c r="S550" s="181"/>
      <c r="T550" s="181"/>
      <c r="U550" s="181"/>
      <c r="V550" s="181"/>
      <c r="W550" s="181"/>
      <c r="X550" s="181"/>
      <c r="Y550" s="181"/>
      <c r="Z550" s="181"/>
      <c r="AA550" s="181"/>
      <c r="AB550" s="181"/>
      <c r="AC550" s="181"/>
      <c r="AD550" s="181"/>
      <c r="AE550" s="181"/>
      <c r="AF550" s="181"/>
      <c r="AG550" s="181"/>
      <c r="AH550" s="181"/>
      <c r="AI550" s="181"/>
      <c r="AJ550" s="181"/>
      <c r="AK550" s="181"/>
      <c r="AL550" s="181"/>
      <c r="AM550" s="181"/>
      <c r="AN550" s="181"/>
      <c r="AO550" s="181"/>
      <c r="AP550" s="181"/>
      <c r="AQ550" s="181"/>
      <c r="AR550" s="181"/>
      <c r="AS550" s="181"/>
      <c r="AT550" s="181"/>
      <c r="AU550" s="181"/>
      <c r="AV550" s="181"/>
      <c r="AW550" s="181"/>
      <c r="AX550" s="181"/>
      <c r="AY550" s="181"/>
      <c r="AZ550" s="181"/>
      <c r="BA550" s="181"/>
      <c r="BB550" s="181"/>
      <c r="BC550" s="173"/>
      <c r="BD550" s="173"/>
      <c r="BE550" s="173"/>
      <c r="BF550" s="173"/>
      <c r="BG550" s="173"/>
      <c r="BH550" s="173"/>
      <c r="BI550" s="173"/>
      <c r="BJ550" s="173"/>
      <c r="BK550" s="173"/>
      <c r="BL550" s="173"/>
      <c r="BM550" s="173"/>
    </row>
    <row r="551" spans="1:65">
      <c r="A551" s="181"/>
      <c r="B551" s="181"/>
      <c r="C551" s="181"/>
      <c r="D551" s="181"/>
      <c r="E551" s="181"/>
      <c r="F551" s="181"/>
      <c r="G551" s="181"/>
      <c r="H551" s="181"/>
      <c r="I551" s="181"/>
      <c r="J551" s="181"/>
      <c r="K551" s="254"/>
      <c r="L551" s="181"/>
      <c r="M551" s="181"/>
      <c r="N551" s="181"/>
      <c r="O551" s="181"/>
      <c r="P551" s="181"/>
      <c r="Q551" s="181"/>
      <c r="R551" s="181"/>
      <c r="S551" s="181"/>
      <c r="T551" s="181"/>
      <c r="U551" s="181"/>
      <c r="V551" s="181"/>
      <c r="W551" s="181"/>
      <c r="X551" s="181"/>
      <c r="Y551" s="181"/>
      <c r="Z551" s="181"/>
      <c r="AA551" s="181"/>
      <c r="AB551" s="181"/>
      <c r="AC551" s="181"/>
      <c r="AD551" s="181"/>
      <c r="AE551" s="181"/>
      <c r="AF551" s="181"/>
      <c r="AG551" s="181"/>
      <c r="AH551" s="181"/>
      <c r="AI551" s="181"/>
      <c r="AJ551" s="181"/>
      <c r="AK551" s="181"/>
      <c r="AL551" s="181"/>
      <c r="AM551" s="181"/>
      <c r="AN551" s="181"/>
      <c r="AO551" s="181"/>
      <c r="AP551" s="181"/>
      <c r="AQ551" s="181"/>
      <c r="AR551" s="181"/>
      <c r="AS551" s="181"/>
      <c r="AT551" s="181"/>
      <c r="AU551" s="181"/>
      <c r="AV551" s="181"/>
      <c r="AW551" s="181"/>
      <c r="AX551" s="181"/>
      <c r="AY551" s="181"/>
      <c r="AZ551" s="181"/>
      <c r="BA551" s="181"/>
      <c r="BB551" s="181"/>
      <c r="BC551" s="173"/>
      <c r="BD551" s="173"/>
      <c r="BE551" s="173"/>
      <c r="BF551" s="173"/>
      <c r="BG551" s="173"/>
      <c r="BH551" s="173"/>
      <c r="BI551" s="173"/>
      <c r="BJ551" s="173"/>
      <c r="BK551" s="173"/>
      <c r="BL551" s="173"/>
      <c r="BM551" s="173"/>
    </row>
    <row r="552" spans="1:65">
      <c r="A552" s="181"/>
      <c r="B552" s="181"/>
      <c r="C552" s="181"/>
      <c r="D552" s="181"/>
      <c r="E552" s="181"/>
      <c r="F552" s="181"/>
      <c r="G552" s="181"/>
      <c r="H552" s="181"/>
      <c r="I552" s="181"/>
      <c r="J552" s="181"/>
      <c r="K552" s="254"/>
      <c r="L552" s="181"/>
      <c r="M552" s="181"/>
      <c r="N552" s="181"/>
      <c r="O552" s="181"/>
      <c r="P552" s="181"/>
      <c r="Q552" s="181"/>
      <c r="R552" s="181"/>
      <c r="S552" s="181"/>
      <c r="T552" s="181"/>
      <c r="U552" s="181"/>
      <c r="V552" s="181"/>
      <c r="W552" s="181"/>
      <c r="X552" s="181"/>
      <c r="Y552" s="181"/>
      <c r="Z552" s="181"/>
      <c r="AA552" s="181"/>
      <c r="AB552" s="181"/>
      <c r="AC552" s="181"/>
      <c r="AD552" s="181"/>
      <c r="AE552" s="181"/>
      <c r="AF552" s="181"/>
      <c r="AG552" s="181"/>
      <c r="AH552" s="181"/>
      <c r="AI552" s="181"/>
      <c r="AJ552" s="181"/>
      <c r="AK552" s="181"/>
      <c r="AL552" s="181"/>
      <c r="AM552" s="181"/>
      <c r="AN552" s="181"/>
      <c r="AO552" s="181"/>
      <c r="AP552" s="181"/>
      <c r="AQ552" s="181"/>
      <c r="AR552" s="181"/>
      <c r="AS552" s="181"/>
      <c r="AT552" s="181"/>
      <c r="AU552" s="181"/>
      <c r="AV552" s="181"/>
      <c r="AW552" s="181"/>
      <c r="AX552" s="181"/>
      <c r="AY552" s="181"/>
      <c r="AZ552" s="181"/>
      <c r="BA552" s="181"/>
      <c r="BB552" s="181"/>
      <c r="BC552" s="173"/>
      <c r="BD552" s="173"/>
      <c r="BE552" s="173"/>
      <c r="BF552" s="173"/>
      <c r="BG552" s="173"/>
      <c r="BH552" s="173"/>
      <c r="BI552" s="173"/>
      <c r="BJ552" s="173"/>
      <c r="BK552" s="173"/>
      <c r="BL552" s="173"/>
      <c r="BM552" s="173"/>
    </row>
    <row r="553" spans="1:65">
      <c r="A553" s="181"/>
      <c r="B553" s="181"/>
      <c r="C553" s="181"/>
      <c r="D553" s="181"/>
      <c r="E553" s="181"/>
      <c r="F553" s="181"/>
      <c r="G553" s="181"/>
      <c r="H553" s="181"/>
      <c r="I553" s="181"/>
      <c r="J553" s="181"/>
      <c r="K553" s="254"/>
      <c r="L553" s="181"/>
      <c r="M553" s="181"/>
      <c r="N553" s="181"/>
      <c r="O553" s="181"/>
      <c r="P553" s="181"/>
      <c r="Q553" s="181"/>
      <c r="R553" s="181"/>
      <c r="S553" s="181"/>
      <c r="T553" s="181"/>
      <c r="U553" s="181"/>
      <c r="V553" s="181"/>
      <c r="W553" s="181"/>
      <c r="X553" s="181"/>
      <c r="Y553" s="181"/>
      <c r="Z553" s="181"/>
      <c r="AA553" s="181"/>
      <c r="AB553" s="181"/>
      <c r="AC553" s="181"/>
      <c r="AD553" s="181"/>
      <c r="AE553" s="181"/>
      <c r="AF553" s="181"/>
      <c r="AG553" s="181"/>
      <c r="AH553" s="181"/>
      <c r="AI553" s="181"/>
      <c r="AJ553" s="181"/>
      <c r="AK553" s="181"/>
      <c r="AL553" s="181"/>
      <c r="AM553" s="181"/>
      <c r="AN553" s="181"/>
      <c r="AO553" s="181"/>
      <c r="AP553" s="181"/>
      <c r="AQ553" s="181"/>
      <c r="AR553" s="181"/>
      <c r="AS553" s="181"/>
      <c r="AT553" s="181"/>
      <c r="AU553" s="181"/>
      <c r="AV553" s="181"/>
      <c r="AW553" s="181"/>
      <c r="AX553" s="181"/>
      <c r="AY553" s="181"/>
      <c r="AZ553" s="181"/>
      <c r="BA553" s="181"/>
      <c r="BB553" s="181"/>
      <c r="BC553" s="173"/>
      <c r="BD553" s="173"/>
      <c r="BE553" s="173"/>
      <c r="BF553" s="173"/>
      <c r="BG553" s="173"/>
      <c r="BH553" s="173"/>
      <c r="BI553" s="173"/>
      <c r="BJ553" s="173"/>
      <c r="BK553" s="173"/>
      <c r="BL553" s="173"/>
      <c r="BM553" s="173"/>
    </row>
    <row r="554" spans="1:65">
      <c r="A554" s="181"/>
      <c r="B554" s="181"/>
      <c r="C554" s="181"/>
      <c r="D554" s="181"/>
      <c r="E554" s="181"/>
      <c r="F554" s="181"/>
      <c r="G554" s="181"/>
      <c r="H554" s="181"/>
      <c r="I554" s="181"/>
      <c r="J554" s="181"/>
      <c r="K554" s="254"/>
      <c r="L554" s="181"/>
      <c r="M554" s="181"/>
      <c r="N554" s="181"/>
      <c r="O554" s="181"/>
      <c r="P554" s="181"/>
      <c r="Q554" s="181"/>
      <c r="R554" s="181"/>
      <c r="S554" s="181"/>
      <c r="T554" s="181"/>
      <c r="U554" s="181"/>
      <c r="V554" s="181"/>
      <c r="W554" s="181"/>
      <c r="X554" s="181"/>
      <c r="Y554" s="181"/>
      <c r="Z554" s="181"/>
      <c r="AA554" s="181"/>
      <c r="AB554" s="181"/>
      <c r="AC554" s="181"/>
      <c r="AD554" s="181"/>
      <c r="AE554" s="181"/>
      <c r="AF554" s="181"/>
      <c r="AG554" s="181"/>
      <c r="AH554" s="181"/>
      <c r="AI554" s="181"/>
      <c r="AJ554" s="181"/>
      <c r="AK554" s="181"/>
      <c r="AL554" s="181"/>
      <c r="AM554" s="181"/>
      <c r="AN554" s="181"/>
      <c r="AO554" s="181"/>
      <c r="AP554" s="181"/>
      <c r="AQ554" s="181"/>
      <c r="AR554" s="181"/>
      <c r="AS554" s="181"/>
      <c r="AT554" s="181"/>
      <c r="AU554" s="181"/>
      <c r="AV554" s="181"/>
      <c r="AW554" s="181"/>
      <c r="AX554" s="181"/>
      <c r="AY554" s="181"/>
      <c r="AZ554" s="181"/>
      <c r="BA554" s="181"/>
      <c r="BB554" s="181"/>
      <c r="BC554" s="173"/>
      <c r="BD554" s="173"/>
      <c r="BE554" s="173"/>
      <c r="BF554" s="173"/>
      <c r="BG554" s="173"/>
      <c r="BH554" s="173"/>
      <c r="BI554" s="173"/>
      <c r="BJ554" s="173"/>
      <c r="BK554" s="173"/>
      <c r="BL554" s="173"/>
      <c r="BM554" s="173"/>
    </row>
    <row r="555" spans="1:65">
      <c r="A555" s="181"/>
      <c r="B555" s="181"/>
      <c r="C555" s="181"/>
      <c r="D555" s="181"/>
      <c r="E555" s="181"/>
      <c r="F555" s="181"/>
      <c r="G555" s="181"/>
      <c r="H555" s="181"/>
      <c r="I555" s="181"/>
      <c r="J555" s="181"/>
      <c r="K555" s="254"/>
      <c r="L555" s="181"/>
      <c r="M555" s="181"/>
      <c r="N555" s="181"/>
      <c r="O555" s="181"/>
      <c r="P555" s="181"/>
      <c r="Q555" s="181"/>
      <c r="R555" s="181"/>
      <c r="S555" s="181"/>
      <c r="T555" s="181"/>
      <c r="U555" s="181"/>
      <c r="V555" s="181"/>
      <c r="W555" s="181"/>
      <c r="X555" s="181"/>
      <c r="Y555" s="181"/>
      <c r="Z555" s="181"/>
      <c r="AA555" s="181"/>
      <c r="AB555" s="181"/>
      <c r="AC555" s="181"/>
      <c r="AD555" s="181"/>
      <c r="AE555" s="181"/>
      <c r="AF555" s="181"/>
      <c r="AG555" s="181"/>
      <c r="AH555" s="181"/>
      <c r="AI555" s="181"/>
      <c r="AJ555" s="181"/>
      <c r="AK555" s="181"/>
      <c r="AL555" s="181"/>
      <c r="AM555" s="181"/>
      <c r="AN555" s="181"/>
      <c r="AO555" s="181"/>
      <c r="AP555" s="181"/>
      <c r="AQ555" s="181"/>
      <c r="AR555" s="181"/>
      <c r="AS555" s="181"/>
      <c r="AT555" s="181"/>
      <c r="AU555" s="181"/>
      <c r="AV555" s="181"/>
      <c r="AW555" s="181"/>
      <c r="AX555" s="181"/>
      <c r="AY555" s="181"/>
      <c r="AZ555" s="181"/>
      <c r="BA555" s="181"/>
      <c r="BB555" s="181"/>
      <c r="BC555" s="173"/>
      <c r="BD555" s="173"/>
      <c r="BE555" s="173"/>
      <c r="BF555" s="173"/>
      <c r="BG555" s="173"/>
      <c r="BH555" s="173"/>
      <c r="BI555" s="173"/>
      <c r="BJ555" s="173"/>
      <c r="BK555" s="173"/>
      <c r="BL555" s="173"/>
      <c r="BM555" s="173"/>
    </row>
    <row r="556" spans="1:65">
      <c r="A556" s="181"/>
      <c r="B556" s="181"/>
      <c r="C556" s="181"/>
      <c r="D556" s="181"/>
      <c r="E556" s="181"/>
      <c r="F556" s="181"/>
      <c r="G556" s="181"/>
      <c r="H556" s="181"/>
      <c r="I556" s="181"/>
      <c r="J556" s="181"/>
      <c r="K556" s="254"/>
      <c r="L556" s="181"/>
      <c r="M556" s="181"/>
      <c r="N556" s="181"/>
      <c r="O556" s="181"/>
      <c r="P556" s="181"/>
      <c r="Q556" s="181"/>
      <c r="R556" s="181"/>
      <c r="S556" s="181"/>
      <c r="T556" s="181"/>
      <c r="U556" s="181"/>
      <c r="V556" s="181"/>
      <c r="W556" s="181"/>
      <c r="X556" s="181"/>
      <c r="Y556" s="181"/>
      <c r="Z556" s="181"/>
      <c r="AA556" s="181"/>
      <c r="AB556" s="181"/>
      <c r="AC556" s="181"/>
      <c r="AD556" s="181"/>
      <c r="AE556" s="181"/>
      <c r="AF556" s="181"/>
      <c r="AG556" s="181"/>
      <c r="AH556" s="181"/>
      <c r="AI556" s="181"/>
      <c r="AJ556" s="181"/>
      <c r="AK556" s="181"/>
      <c r="AL556" s="181"/>
      <c r="AM556" s="181"/>
      <c r="AN556" s="181"/>
      <c r="AO556" s="181"/>
      <c r="AP556" s="181"/>
      <c r="AQ556" s="181"/>
      <c r="AR556" s="181"/>
      <c r="AS556" s="181"/>
      <c r="AT556" s="181"/>
      <c r="AU556" s="181"/>
      <c r="AV556" s="181"/>
      <c r="AW556" s="181"/>
      <c r="AX556" s="181"/>
      <c r="AY556" s="181"/>
      <c r="AZ556" s="181"/>
      <c r="BA556" s="181"/>
      <c r="BB556" s="181"/>
      <c r="BC556" s="173"/>
      <c r="BD556" s="173"/>
      <c r="BE556" s="173"/>
      <c r="BF556" s="173"/>
      <c r="BG556" s="173"/>
      <c r="BH556" s="173"/>
      <c r="BI556" s="173"/>
      <c r="BJ556" s="173"/>
      <c r="BK556" s="173"/>
      <c r="BL556" s="173"/>
      <c r="BM556" s="173"/>
    </row>
    <row r="557" spans="1:65">
      <c r="A557" s="181"/>
      <c r="B557" s="181"/>
      <c r="C557" s="181"/>
      <c r="D557" s="181"/>
      <c r="E557" s="181"/>
      <c r="F557" s="181"/>
      <c r="G557" s="181"/>
      <c r="H557" s="181"/>
      <c r="I557" s="181"/>
      <c r="J557" s="181"/>
      <c r="K557" s="254"/>
      <c r="L557" s="181"/>
      <c r="M557" s="181"/>
      <c r="N557" s="181"/>
      <c r="O557" s="181"/>
      <c r="P557" s="181"/>
      <c r="Q557" s="181"/>
      <c r="R557" s="181"/>
      <c r="S557" s="181"/>
      <c r="T557" s="181"/>
      <c r="U557" s="181"/>
      <c r="V557" s="181"/>
      <c r="W557" s="181"/>
      <c r="X557" s="181"/>
      <c r="Y557" s="181"/>
      <c r="Z557" s="181"/>
      <c r="AA557" s="181"/>
      <c r="AB557" s="181"/>
      <c r="AC557" s="181"/>
      <c r="AD557" s="181"/>
      <c r="AE557" s="181"/>
      <c r="AF557" s="181"/>
      <c r="AG557" s="181"/>
      <c r="AH557" s="181"/>
      <c r="AI557" s="181"/>
      <c r="AJ557" s="181"/>
      <c r="AK557" s="181"/>
      <c r="AL557" s="181"/>
      <c r="AM557" s="181"/>
      <c r="AN557" s="181"/>
      <c r="AO557" s="181"/>
      <c r="AP557" s="181"/>
      <c r="AQ557" s="181"/>
      <c r="AR557" s="181"/>
      <c r="AS557" s="181"/>
      <c r="AT557" s="181"/>
      <c r="AU557" s="181"/>
      <c r="AV557" s="181"/>
      <c r="AW557" s="181"/>
      <c r="AX557" s="181"/>
      <c r="AY557" s="181"/>
      <c r="AZ557" s="181"/>
      <c r="BA557" s="181"/>
      <c r="BB557" s="181"/>
      <c r="BC557" s="173"/>
      <c r="BD557" s="173"/>
      <c r="BE557" s="173"/>
      <c r="BF557" s="173"/>
      <c r="BG557" s="173"/>
      <c r="BH557" s="173"/>
      <c r="BI557" s="173"/>
      <c r="BJ557" s="173"/>
      <c r="BK557" s="173"/>
      <c r="BL557" s="173"/>
      <c r="BM557" s="173"/>
    </row>
    <row r="558" spans="1:65">
      <c r="A558" s="181"/>
      <c r="B558" s="181"/>
      <c r="C558" s="181"/>
      <c r="D558" s="181"/>
      <c r="E558" s="181"/>
      <c r="F558" s="181"/>
      <c r="G558" s="181"/>
      <c r="H558" s="181"/>
      <c r="I558" s="181"/>
      <c r="J558" s="181"/>
      <c r="K558" s="254"/>
      <c r="L558" s="181"/>
      <c r="M558" s="181"/>
      <c r="N558" s="181"/>
      <c r="O558" s="181"/>
      <c r="P558" s="181"/>
      <c r="Q558" s="181"/>
      <c r="R558" s="181"/>
      <c r="S558" s="181"/>
      <c r="T558" s="181"/>
      <c r="U558" s="181"/>
      <c r="V558" s="181"/>
      <c r="W558" s="181"/>
      <c r="X558" s="181"/>
      <c r="Y558" s="181"/>
      <c r="Z558" s="181"/>
      <c r="AA558" s="181"/>
      <c r="AB558" s="181"/>
      <c r="AC558" s="181"/>
      <c r="AD558" s="181"/>
      <c r="AE558" s="181"/>
      <c r="AF558" s="181"/>
      <c r="AG558" s="181"/>
      <c r="AH558" s="181"/>
      <c r="AI558" s="181"/>
      <c r="AJ558" s="181"/>
      <c r="AK558" s="181"/>
      <c r="AL558" s="181"/>
      <c r="AM558" s="181"/>
      <c r="AN558" s="181"/>
      <c r="AO558" s="181"/>
      <c r="AP558" s="181"/>
      <c r="AQ558" s="181"/>
      <c r="AR558" s="181"/>
      <c r="AS558" s="181"/>
      <c r="AT558" s="181"/>
      <c r="AU558" s="181"/>
      <c r="AV558" s="181"/>
      <c r="AW558" s="181"/>
      <c r="AX558" s="181"/>
      <c r="AY558" s="181"/>
      <c r="AZ558" s="181"/>
      <c r="BA558" s="181"/>
      <c r="BB558" s="181"/>
      <c r="BC558" s="173"/>
      <c r="BD558" s="173"/>
      <c r="BE558" s="173"/>
      <c r="BF558" s="173"/>
      <c r="BG558" s="173"/>
      <c r="BH558" s="173"/>
      <c r="BI558" s="173"/>
      <c r="BJ558" s="173"/>
      <c r="BK558" s="173"/>
      <c r="BL558" s="173"/>
      <c r="BM558" s="173"/>
    </row>
    <row r="559" spans="1:65">
      <c r="A559" s="181"/>
      <c r="B559" s="181"/>
      <c r="C559" s="181"/>
      <c r="D559" s="181"/>
      <c r="E559" s="181"/>
      <c r="F559" s="181"/>
      <c r="G559" s="181"/>
      <c r="H559" s="181"/>
      <c r="I559" s="181"/>
      <c r="J559" s="181"/>
      <c r="K559" s="254"/>
      <c r="L559" s="181"/>
      <c r="M559" s="181"/>
      <c r="N559" s="181"/>
      <c r="O559" s="181"/>
      <c r="P559" s="181"/>
      <c r="Q559" s="181"/>
      <c r="R559" s="181"/>
      <c r="S559" s="181"/>
      <c r="T559" s="181"/>
      <c r="U559" s="181"/>
      <c r="V559" s="181"/>
      <c r="W559" s="181"/>
      <c r="X559" s="181"/>
      <c r="Y559" s="181"/>
      <c r="Z559" s="181"/>
      <c r="AA559" s="181"/>
      <c r="AB559" s="181"/>
      <c r="AC559" s="181"/>
      <c r="AD559" s="181"/>
      <c r="AE559" s="181"/>
      <c r="AF559" s="181"/>
      <c r="AG559" s="181"/>
      <c r="AH559" s="181"/>
      <c r="AI559" s="181"/>
      <c r="AJ559" s="181"/>
      <c r="AK559" s="181"/>
      <c r="AL559" s="181"/>
      <c r="AM559" s="181"/>
      <c r="AN559" s="181"/>
      <c r="AO559" s="181"/>
      <c r="AP559" s="181"/>
      <c r="AQ559" s="181"/>
      <c r="AR559" s="181"/>
      <c r="AS559" s="181"/>
      <c r="AT559" s="181"/>
      <c r="AU559" s="181"/>
      <c r="AV559" s="181"/>
      <c r="AW559" s="181"/>
      <c r="AX559" s="181"/>
      <c r="AY559" s="181"/>
      <c r="AZ559" s="181"/>
      <c r="BA559" s="181"/>
      <c r="BB559" s="181"/>
      <c r="BC559" s="173"/>
      <c r="BD559" s="173"/>
      <c r="BE559" s="173"/>
      <c r="BF559" s="173"/>
      <c r="BG559" s="173"/>
      <c r="BH559" s="173"/>
      <c r="BI559" s="173"/>
      <c r="BJ559" s="173"/>
      <c r="BK559" s="173"/>
      <c r="BL559" s="173"/>
      <c r="BM559" s="173"/>
    </row>
    <row r="560" spans="1:65">
      <c r="A560" s="181"/>
      <c r="B560" s="181"/>
      <c r="C560" s="181"/>
      <c r="D560" s="181"/>
      <c r="E560" s="181"/>
      <c r="F560" s="181"/>
      <c r="G560" s="181"/>
      <c r="H560" s="181"/>
      <c r="I560" s="181"/>
      <c r="J560" s="181"/>
      <c r="K560" s="254"/>
      <c r="L560" s="181"/>
      <c r="M560" s="181"/>
      <c r="N560" s="181"/>
      <c r="O560" s="181"/>
      <c r="P560" s="181"/>
      <c r="Q560" s="181"/>
      <c r="R560" s="181"/>
      <c r="S560" s="181"/>
      <c r="T560" s="181"/>
      <c r="U560" s="181"/>
      <c r="V560" s="181"/>
      <c r="W560" s="181"/>
      <c r="X560" s="181"/>
      <c r="Y560" s="181"/>
      <c r="Z560" s="181"/>
      <c r="AA560" s="181"/>
      <c r="AB560" s="181"/>
      <c r="AC560" s="181"/>
      <c r="AD560" s="181"/>
      <c r="AE560" s="181"/>
      <c r="AF560" s="181"/>
      <c r="AG560" s="181"/>
      <c r="AH560" s="181"/>
      <c r="AI560" s="181"/>
      <c r="AJ560" s="181"/>
      <c r="AK560" s="181"/>
      <c r="AL560" s="181"/>
      <c r="AM560" s="181"/>
      <c r="AN560" s="181"/>
      <c r="AO560" s="181"/>
      <c r="AP560" s="181"/>
      <c r="AQ560" s="181"/>
      <c r="AR560" s="181"/>
      <c r="AS560" s="181"/>
      <c r="AT560" s="181"/>
      <c r="AU560" s="181"/>
      <c r="AV560" s="181"/>
      <c r="AW560" s="181"/>
      <c r="AX560" s="181"/>
      <c r="AY560" s="181"/>
      <c r="AZ560" s="181"/>
      <c r="BA560" s="181"/>
      <c r="BB560" s="181"/>
      <c r="BC560" s="173"/>
      <c r="BD560" s="173"/>
      <c r="BE560" s="173"/>
      <c r="BF560" s="173"/>
      <c r="BG560" s="173"/>
      <c r="BH560" s="173"/>
      <c r="BI560" s="173"/>
      <c r="BJ560" s="173"/>
      <c r="BK560" s="173"/>
      <c r="BL560" s="173"/>
      <c r="BM560" s="173"/>
    </row>
    <row r="561" spans="1:65">
      <c r="A561" s="181"/>
      <c r="B561" s="181"/>
      <c r="C561" s="181"/>
      <c r="D561" s="181"/>
      <c r="E561" s="181"/>
      <c r="F561" s="181"/>
      <c r="G561" s="181"/>
      <c r="H561" s="181"/>
      <c r="I561" s="181"/>
      <c r="J561" s="181"/>
      <c r="K561" s="254"/>
      <c r="L561" s="181"/>
      <c r="M561" s="181"/>
      <c r="N561" s="181"/>
      <c r="O561" s="181"/>
      <c r="P561" s="181"/>
      <c r="Q561" s="181"/>
      <c r="R561" s="181"/>
      <c r="S561" s="181"/>
      <c r="T561" s="181"/>
      <c r="U561" s="181"/>
      <c r="V561" s="181"/>
      <c r="W561" s="181"/>
      <c r="X561" s="181"/>
      <c r="Y561" s="181"/>
      <c r="Z561" s="181"/>
      <c r="AA561" s="181"/>
      <c r="AB561" s="181"/>
      <c r="AC561" s="181"/>
      <c r="AD561" s="181"/>
      <c r="AE561" s="181"/>
      <c r="AF561" s="181"/>
      <c r="AG561" s="181"/>
      <c r="AH561" s="181"/>
      <c r="AI561" s="181"/>
      <c r="AJ561" s="181"/>
      <c r="AK561" s="181"/>
      <c r="AL561" s="181"/>
      <c r="AM561" s="181"/>
      <c r="AN561" s="181"/>
      <c r="AO561" s="181"/>
      <c r="AP561" s="181"/>
      <c r="AQ561" s="181"/>
      <c r="AR561" s="181"/>
      <c r="AS561" s="181"/>
      <c r="AT561" s="181"/>
      <c r="AU561" s="181"/>
      <c r="AV561" s="181"/>
      <c r="AW561" s="181"/>
      <c r="AX561" s="181"/>
      <c r="AY561" s="181"/>
      <c r="AZ561" s="181"/>
      <c r="BA561" s="181"/>
      <c r="BB561" s="181"/>
      <c r="BC561" s="173"/>
      <c r="BD561" s="173"/>
      <c r="BE561" s="173"/>
      <c r="BF561" s="173"/>
      <c r="BG561" s="173"/>
      <c r="BH561" s="173"/>
      <c r="BI561" s="173"/>
      <c r="BJ561" s="173"/>
      <c r="BK561" s="173"/>
      <c r="BL561" s="173"/>
      <c r="BM561" s="173"/>
    </row>
    <row r="562" spans="1:65">
      <c r="A562" s="181"/>
      <c r="B562" s="181"/>
      <c r="C562" s="181"/>
      <c r="D562" s="181"/>
      <c r="E562" s="181"/>
      <c r="F562" s="181"/>
      <c r="G562" s="181"/>
      <c r="H562" s="181"/>
      <c r="I562" s="181"/>
      <c r="J562" s="181"/>
      <c r="K562" s="254"/>
      <c r="L562" s="181"/>
      <c r="M562" s="181"/>
      <c r="N562" s="181"/>
      <c r="O562" s="181"/>
      <c r="P562" s="181"/>
      <c r="Q562" s="181"/>
      <c r="R562" s="181"/>
      <c r="S562" s="181"/>
      <c r="T562" s="181"/>
      <c r="U562" s="181"/>
      <c r="V562" s="181"/>
      <c r="W562" s="181"/>
      <c r="X562" s="181"/>
      <c r="Y562" s="181"/>
      <c r="Z562" s="181"/>
      <c r="AA562" s="181"/>
      <c r="AB562" s="181"/>
      <c r="AC562" s="181"/>
      <c r="AD562" s="181"/>
      <c r="AE562" s="181"/>
      <c r="AF562" s="181"/>
      <c r="AG562" s="181"/>
      <c r="AH562" s="181"/>
      <c r="AI562" s="181"/>
      <c r="AJ562" s="181"/>
      <c r="AK562" s="181"/>
      <c r="AL562" s="181"/>
      <c r="AM562" s="181"/>
      <c r="AN562" s="181"/>
      <c r="AO562" s="181"/>
      <c r="AP562" s="181"/>
      <c r="AQ562" s="181"/>
      <c r="AR562" s="181"/>
      <c r="AS562" s="181"/>
      <c r="AT562" s="181"/>
      <c r="AU562" s="181"/>
      <c r="AV562" s="181"/>
      <c r="AW562" s="181"/>
      <c r="AX562" s="181"/>
      <c r="AY562" s="181"/>
      <c r="AZ562" s="181"/>
      <c r="BA562" s="181"/>
      <c r="BB562" s="181"/>
      <c r="BC562" s="173"/>
      <c r="BD562" s="173"/>
      <c r="BE562" s="173"/>
      <c r="BF562" s="173"/>
      <c r="BG562" s="173"/>
      <c r="BH562" s="173"/>
      <c r="BI562" s="173"/>
      <c r="BJ562" s="173"/>
      <c r="BK562" s="173"/>
      <c r="BL562" s="173"/>
      <c r="BM562" s="173"/>
    </row>
    <row r="563" spans="1:65">
      <c r="A563" s="181"/>
      <c r="B563" s="181"/>
      <c r="C563" s="181"/>
      <c r="D563" s="181"/>
      <c r="E563" s="181"/>
      <c r="F563" s="181"/>
      <c r="G563" s="181"/>
      <c r="H563" s="181"/>
      <c r="I563" s="181"/>
      <c r="J563" s="181"/>
      <c r="K563" s="254"/>
      <c r="L563" s="181"/>
      <c r="M563" s="181"/>
      <c r="N563" s="181"/>
      <c r="O563" s="181"/>
      <c r="P563" s="181"/>
      <c r="Q563" s="181"/>
      <c r="R563" s="181"/>
      <c r="S563" s="181"/>
      <c r="T563" s="181"/>
      <c r="U563" s="181"/>
      <c r="V563" s="181"/>
      <c r="W563" s="181"/>
      <c r="X563" s="181"/>
      <c r="Y563" s="181"/>
      <c r="Z563" s="181"/>
      <c r="AA563" s="181"/>
      <c r="AB563" s="181"/>
      <c r="AC563" s="181"/>
      <c r="AD563" s="181"/>
      <c r="AE563" s="181"/>
      <c r="AF563" s="181"/>
      <c r="AG563" s="181"/>
      <c r="AH563" s="181"/>
      <c r="AI563" s="181"/>
      <c r="AJ563" s="181"/>
      <c r="AK563" s="181"/>
      <c r="AL563" s="181"/>
      <c r="AM563" s="181"/>
      <c r="AN563" s="181"/>
      <c r="AO563" s="181"/>
      <c r="AP563" s="181"/>
      <c r="AQ563" s="181"/>
      <c r="AR563" s="181"/>
      <c r="AS563" s="181"/>
      <c r="AT563" s="181"/>
      <c r="AU563" s="181"/>
      <c r="AV563" s="181"/>
      <c r="AW563" s="181"/>
      <c r="AX563" s="181"/>
      <c r="AY563" s="181"/>
      <c r="AZ563" s="181"/>
      <c r="BA563" s="181"/>
      <c r="BB563" s="181"/>
      <c r="BC563" s="173"/>
      <c r="BD563" s="173"/>
      <c r="BE563" s="173"/>
      <c r="BF563" s="173"/>
      <c r="BG563" s="173"/>
      <c r="BH563" s="173"/>
      <c r="BI563" s="173"/>
      <c r="BJ563" s="173"/>
      <c r="BK563" s="173"/>
      <c r="BL563" s="173"/>
      <c r="BM563" s="173"/>
    </row>
    <row r="564" spans="1:65">
      <c r="A564" s="181"/>
      <c r="B564" s="181"/>
      <c r="C564" s="181"/>
      <c r="D564" s="181"/>
      <c r="E564" s="181"/>
      <c r="F564" s="181"/>
      <c r="G564" s="181"/>
      <c r="H564" s="181"/>
      <c r="I564" s="181"/>
      <c r="J564" s="181"/>
      <c r="K564" s="254"/>
      <c r="L564" s="181"/>
      <c r="M564" s="181"/>
      <c r="N564" s="181"/>
      <c r="O564" s="181"/>
      <c r="P564" s="181"/>
      <c r="Q564" s="181"/>
      <c r="R564" s="181"/>
      <c r="S564" s="181"/>
      <c r="T564" s="181"/>
      <c r="U564" s="181"/>
      <c r="V564" s="181"/>
      <c r="W564" s="181"/>
      <c r="X564" s="181"/>
      <c r="Y564" s="181"/>
      <c r="Z564" s="181"/>
      <c r="AA564" s="181"/>
      <c r="AB564" s="181"/>
      <c r="AC564" s="181"/>
      <c r="AD564" s="181"/>
      <c r="AE564" s="181"/>
      <c r="AF564" s="181"/>
      <c r="AG564" s="181"/>
      <c r="AH564" s="181"/>
      <c r="AI564" s="181"/>
      <c r="AJ564" s="181"/>
      <c r="AK564" s="181"/>
      <c r="AL564" s="181"/>
      <c r="AM564" s="181"/>
      <c r="AN564" s="181"/>
      <c r="AO564" s="181"/>
      <c r="AP564" s="181"/>
      <c r="AQ564" s="181"/>
      <c r="AR564" s="181"/>
      <c r="AS564" s="181"/>
      <c r="AT564" s="181"/>
      <c r="AU564" s="181"/>
      <c r="AV564" s="181"/>
      <c r="AW564" s="181"/>
      <c r="AX564" s="181"/>
      <c r="AY564" s="181"/>
      <c r="AZ564" s="181"/>
      <c r="BA564" s="181"/>
      <c r="BB564" s="181"/>
      <c r="BC564" s="173"/>
      <c r="BD564" s="173"/>
      <c r="BE564" s="173"/>
      <c r="BF564" s="173"/>
      <c r="BG564" s="173"/>
      <c r="BH564" s="173"/>
      <c r="BI564" s="173"/>
      <c r="BJ564" s="173"/>
      <c r="BK564" s="173"/>
      <c r="BL564" s="173"/>
      <c r="BM564" s="173"/>
    </row>
    <row r="565" spans="1:65">
      <c r="A565" s="181"/>
      <c r="B565" s="181"/>
      <c r="C565" s="181"/>
      <c r="D565" s="181"/>
      <c r="E565" s="181"/>
      <c r="F565" s="181"/>
      <c r="G565" s="181"/>
      <c r="H565" s="181"/>
      <c r="I565" s="181"/>
      <c r="J565" s="181"/>
      <c r="K565" s="254"/>
      <c r="L565" s="181"/>
      <c r="M565" s="181"/>
      <c r="N565" s="181"/>
      <c r="O565" s="181"/>
      <c r="P565" s="181"/>
      <c r="Q565" s="181"/>
      <c r="R565" s="181"/>
      <c r="S565" s="181"/>
      <c r="T565" s="181"/>
      <c r="U565" s="181"/>
      <c r="V565" s="181"/>
      <c r="W565" s="181"/>
      <c r="X565" s="181"/>
      <c r="Y565" s="181"/>
      <c r="Z565" s="181"/>
      <c r="AA565" s="181"/>
      <c r="AB565" s="181"/>
      <c r="AC565" s="181"/>
      <c r="AD565" s="181"/>
      <c r="AE565" s="181"/>
      <c r="AF565" s="181"/>
      <c r="AG565" s="181"/>
      <c r="AH565" s="181"/>
      <c r="AI565" s="181"/>
      <c r="AJ565" s="181"/>
      <c r="AK565" s="181"/>
      <c r="AL565" s="181"/>
      <c r="AM565" s="181"/>
      <c r="AN565" s="181"/>
      <c r="AO565" s="181"/>
      <c r="AP565" s="181"/>
      <c r="AQ565" s="181"/>
      <c r="AR565" s="181"/>
      <c r="AS565" s="181"/>
      <c r="AT565" s="181"/>
      <c r="AU565" s="181"/>
      <c r="AV565" s="181"/>
      <c r="AW565" s="181"/>
      <c r="AX565" s="181"/>
      <c r="AY565" s="181"/>
      <c r="AZ565" s="181"/>
      <c r="BA565" s="181"/>
      <c r="BB565" s="181"/>
      <c r="BC565" s="173"/>
      <c r="BD565" s="173"/>
      <c r="BE565" s="173"/>
      <c r="BF565" s="173"/>
      <c r="BG565" s="173"/>
      <c r="BH565" s="173"/>
      <c r="BI565" s="173"/>
      <c r="BJ565" s="173"/>
      <c r="BK565" s="173"/>
      <c r="BL565" s="173"/>
      <c r="BM565" s="173"/>
    </row>
    <row r="566" spans="1:65">
      <c r="A566" s="181"/>
      <c r="B566" s="181"/>
      <c r="C566" s="181"/>
      <c r="D566" s="181"/>
      <c r="E566" s="181"/>
      <c r="F566" s="181"/>
      <c r="G566" s="181"/>
      <c r="H566" s="181"/>
      <c r="I566" s="181"/>
      <c r="J566" s="181"/>
      <c r="K566" s="254"/>
      <c r="L566" s="181"/>
      <c r="M566" s="181"/>
      <c r="N566" s="181"/>
      <c r="O566" s="181"/>
      <c r="P566" s="181"/>
      <c r="Q566" s="181"/>
      <c r="R566" s="181"/>
      <c r="S566" s="181"/>
      <c r="T566" s="181"/>
      <c r="U566" s="181"/>
      <c r="V566" s="181"/>
      <c r="W566" s="181"/>
      <c r="X566" s="181"/>
      <c r="Y566" s="181"/>
      <c r="Z566" s="181"/>
      <c r="AA566" s="181"/>
      <c r="AB566" s="181"/>
      <c r="AC566" s="181"/>
      <c r="AD566" s="181"/>
      <c r="AE566" s="181"/>
      <c r="AF566" s="181"/>
      <c r="AG566" s="181"/>
      <c r="AH566" s="181"/>
      <c r="AI566" s="181"/>
      <c r="AJ566" s="181"/>
      <c r="AK566" s="181"/>
      <c r="AL566" s="181"/>
      <c r="AM566" s="181"/>
      <c r="AN566" s="181"/>
      <c r="AO566" s="181"/>
      <c r="AP566" s="181"/>
      <c r="AQ566" s="181"/>
      <c r="AR566" s="181"/>
      <c r="AS566" s="181"/>
      <c r="AT566" s="181"/>
      <c r="AU566" s="181"/>
      <c r="AV566" s="181"/>
      <c r="AW566" s="181"/>
      <c r="AX566" s="181"/>
      <c r="AY566" s="181"/>
      <c r="AZ566" s="181"/>
      <c r="BA566" s="181"/>
      <c r="BB566" s="181"/>
      <c r="BC566" s="173"/>
      <c r="BD566" s="173"/>
      <c r="BE566" s="173"/>
      <c r="BF566" s="173"/>
      <c r="BG566" s="173"/>
      <c r="BH566" s="173"/>
      <c r="BI566" s="173"/>
      <c r="BJ566" s="173"/>
      <c r="BK566" s="173"/>
      <c r="BL566" s="173"/>
      <c r="BM566" s="173"/>
    </row>
    <row r="567" spans="1:65">
      <c r="A567" s="181"/>
      <c r="B567" s="181"/>
      <c r="C567" s="181"/>
      <c r="D567" s="181"/>
      <c r="E567" s="181"/>
      <c r="F567" s="181"/>
      <c r="G567" s="181"/>
      <c r="H567" s="181"/>
      <c r="I567" s="181"/>
      <c r="J567" s="181"/>
      <c r="K567" s="254"/>
      <c r="L567" s="181"/>
      <c r="M567" s="181"/>
      <c r="N567" s="181"/>
      <c r="O567" s="181"/>
      <c r="P567" s="181"/>
      <c r="Q567" s="181"/>
      <c r="R567" s="181"/>
      <c r="S567" s="181"/>
      <c r="T567" s="181"/>
      <c r="U567" s="181"/>
      <c r="V567" s="181"/>
      <c r="W567" s="181"/>
      <c r="X567" s="181"/>
      <c r="Y567" s="181"/>
      <c r="Z567" s="181"/>
      <c r="AA567" s="181"/>
      <c r="AB567" s="181"/>
      <c r="AC567" s="181"/>
      <c r="AD567" s="181"/>
      <c r="AE567" s="181"/>
      <c r="AF567" s="181"/>
      <c r="AG567" s="181"/>
      <c r="AH567" s="181"/>
      <c r="AI567" s="181"/>
      <c r="AJ567" s="181"/>
      <c r="AK567" s="181"/>
      <c r="AL567" s="181"/>
      <c r="AM567" s="181"/>
      <c r="AN567" s="181"/>
      <c r="AO567" s="181"/>
      <c r="AP567" s="181"/>
      <c r="AQ567" s="181"/>
      <c r="AR567" s="181"/>
      <c r="AS567" s="181"/>
      <c r="AT567" s="181"/>
      <c r="AU567" s="181"/>
      <c r="AV567" s="181"/>
      <c r="AW567" s="181"/>
      <c r="AX567" s="181"/>
      <c r="AY567" s="181"/>
      <c r="AZ567" s="181"/>
      <c r="BA567" s="181"/>
      <c r="BB567" s="181"/>
      <c r="BC567" s="173"/>
      <c r="BD567" s="173"/>
      <c r="BE567" s="173"/>
      <c r="BF567" s="173"/>
      <c r="BG567" s="173"/>
      <c r="BH567" s="173"/>
      <c r="BI567" s="173"/>
      <c r="BJ567" s="173"/>
      <c r="BK567" s="173"/>
      <c r="BL567" s="173"/>
      <c r="BM567" s="173"/>
    </row>
    <row r="568" spans="1:65">
      <c r="A568" s="181"/>
      <c r="B568" s="181"/>
      <c r="C568" s="181"/>
      <c r="D568" s="181"/>
      <c r="E568" s="181"/>
      <c r="F568" s="181"/>
      <c r="G568" s="181"/>
      <c r="H568" s="181"/>
      <c r="I568" s="181"/>
      <c r="J568" s="181"/>
      <c r="K568" s="254"/>
      <c r="L568" s="181"/>
      <c r="M568" s="181"/>
      <c r="N568" s="181"/>
      <c r="O568" s="181"/>
      <c r="P568" s="181"/>
      <c r="Q568" s="181"/>
      <c r="R568" s="181"/>
      <c r="S568" s="181"/>
      <c r="T568" s="181"/>
      <c r="U568" s="181"/>
      <c r="V568" s="181"/>
      <c r="W568" s="181"/>
      <c r="X568" s="181"/>
      <c r="Y568" s="181"/>
      <c r="Z568" s="181"/>
      <c r="AA568" s="181"/>
      <c r="AB568" s="181"/>
      <c r="AC568" s="181"/>
      <c r="AD568" s="181"/>
      <c r="AE568" s="181"/>
      <c r="AF568" s="181"/>
      <c r="AG568" s="181"/>
      <c r="AH568" s="181"/>
      <c r="AI568" s="181"/>
      <c r="AJ568" s="181"/>
      <c r="AK568" s="181"/>
      <c r="AL568" s="181"/>
      <c r="AM568" s="181"/>
      <c r="AN568" s="181"/>
      <c r="AO568" s="181"/>
      <c r="AP568" s="181"/>
      <c r="AQ568" s="181"/>
      <c r="AR568" s="181"/>
      <c r="AS568" s="181"/>
      <c r="AT568" s="181"/>
      <c r="AU568" s="181"/>
      <c r="AV568" s="181"/>
      <c r="AW568" s="181"/>
      <c r="AX568" s="181"/>
      <c r="AY568" s="181"/>
      <c r="AZ568" s="181"/>
      <c r="BA568" s="181"/>
      <c r="BB568" s="181"/>
      <c r="BC568" s="173"/>
      <c r="BD568" s="173"/>
      <c r="BE568" s="173"/>
      <c r="BF568" s="173"/>
      <c r="BG568" s="173"/>
      <c r="BH568" s="173"/>
      <c r="BI568" s="173"/>
      <c r="BJ568" s="173"/>
      <c r="BK568" s="173"/>
      <c r="BL568" s="173"/>
      <c r="BM568" s="173"/>
    </row>
    <row r="569" spans="1:65">
      <c r="A569" s="181"/>
      <c r="B569" s="181"/>
      <c r="C569" s="181"/>
      <c r="D569" s="181"/>
      <c r="E569" s="181"/>
      <c r="F569" s="181"/>
      <c r="G569" s="181"/>
      <c r="H569" s="181"/>
      <c r="I569" s="181"/>
      <c r="J569" s="181"/>
      <c r="K569" s="254"/>
      <c r="L569" s="181"/>
      <c r="M569" s="181"/>
      <c r="N569" s="181"/>
      <c r="O569" s="181"/>
      <c r="P569" s="181"/>
      <c r="Q569" s="181"/>
      <c r="R569" s="181"/>
      <c r="S569" s="181"/>
      <c r="T569" s="181"/>
      <c r="U569" s="181"/>
      <c r="V569" s="181"/>
      <c r="W569" s="181"/>
      <c r="X569" s="181"/>
      <c r="Y569" s="181"/>
      <c r="Z569" s="181"/>
      <c r="AA569" s="181"/>
      <c r="AB569" s="181"/>
      <c r="AC569" s="181"/>
      <c r="AD569" s="181"/>
      <c r="AE569" s="181"/>
      <c r="AF569" s="181"/>
      <c r="AG569" s="181"/>
      <c r="AH569" s="181"/>
      <c r="AI569" s="181"/>
      <c r="AJ569" s="181"/>
      <c r="AK569" s="181"/>
      <c r="AL569" s="181"/>
      <c r="AM569" s="181"/>
      <c r="AN569" s="181"/>
      <c r="AO569" s="181"/>
      <c r="AP569" s="181"/>
      <c r="AQ569" s="181"/>
      <c r="AR569" s="181"/>
      <c r="AS569" s="181"/>
      <c r="AT569" s="181"/>
      <c r="AU569" s="181"/>
      <c r="AV569" s="181"/>
      <c r="AW569" s="181"/>
      <c r="AX569" s="181"/>
      <c r="AY569" s="181"/>
      <c r="AZ569" s="181"/>
      <c r="BA569" s="181"/>
      <c r="BB569" s="181"/>
      <c r="BC569" s="173"/>
      <c r="BD569" s="173"/>
      <c r="BE569" s="173"/>
      <c r="BF569" s="173"/>
      <c r="BG569" s="173"/>
      <c r="BH569" s="173"/>
      <c r="BI569" s="173"/>
      <c r="BJ569" s="173"/>
      <c r="BK569" s="173"/>
      <c r="BL569" s="173"/>
      <c r="BM569" s="173"/>
    </row>
    <row r="570" spans="1:65">
      <c r="A570" s="181"/>
      <c r="B570" s="181"/>
      <c r="C570" s="181"/>
      <c r="D570" s="181"/>
      <c r="E570" s="181"/>
      <c r="F570" s="181"/>
      <c r="G570" s="181"/>
      <c r="H570" s="181"/>
      <c r="I570" s="181"/>
      <c r="J570" s="181"/>
      <c r="K570" s="254"/>
      <c r="L570" s="181"/>
      <c r="M570" s="181"/>
      <c r="N570" s="181"/>
      <c r="O570" s="181"/>
      <c r="P570" s="181"/>
      <c r="Q570" s="181"/>
      <c r="R570" s="181"/>
      <c r="S570" s="181"/>
      <c r="T570" s="181"/>
      <c r="U570" s="181"/>
      <c r="V570" s="181"/>
      <c r="W570" s="181"/>
      <c r="X570" s="181"/>
      <c r="Y570" s="181"/>
      <c r="Z570" s="181"/>
      <c r="AA570" s="181"/>
      <c r="AB570" s="181"/>
      <c r="AC570" s="181"/>
      <c r="AD570" s="181"/>
      <c r="AE570" s="181"/>
      <c r="AF570" s="181"/>
      <c r="AG570" s="181"/>
      <c r="AH570" s="181"/>
      <c r="AI570" s="181"/>
      <c r="AJ570" s="181"/>
      <c r="AK570" s="181"/>
      <c r="AL570" s="181"/>
      <c r="AM570" s="181"/>
      <c r="AN570" s="181"/>
      <c r="AO570" s="181"/>
      <c r="AP570" s="181"/>
      <c r="AQ570" s="181"/>
      <c r="AR570" s="181"/>
      <c r="AS570" s="181"/>
      <c r="AT570" s="181"/>
      <c r="AU570" s="181"/>
      <c r="AV570" s="181"/>
      <c r="AW570" s="181"/>
      <c r="AX570" s="181"/>
      <c r="AY570" s="181"/>
      <c r="AZ570" s="181"/>
      <c r="BA570" s="181"/>
      <c r="BB570" s="181"/>
      <c r="BC570" s="173"/>
      <c r="BD570" s="173"/>
      <c r="BE570" s="173"/>
      <c r="BF570" s="173"/>
      <c r="BG570" s="173"/>
      <c r="BH570" s="173"/>
      <c r="BI570" s="173"/>
      <c r="BJ570" s="173"/>
      <c r="BK570" s="173"/>
      <c r="BL570" s="173"/>
      <c r="BM570" s="173"/>
    </row>
    <row r="571" spans="1:65">
      <c r="A571" s="181"/>
      <c r="B571" s="181"/>
      <c r="C571" s="181"/>
      <c r="D571" s="181"/>
      <c r="E571" s="181"/>
      <c r="F571" s="181"/>
      <c r="G571" s="181"/>
      <c r="H571" s="181"/>
      <c r="I571" s="181"/>
      <c r="J571" s="181"/>
      <c r="K571" s="254"/>
      <c r="L571" s="181"/>
      <c r="M571" s="181"/>
      <c r="N571" s="181"/>
      <c r="O571" s="181"/>
      <c r="P571" s="181"/>
      <c r="Q571" s="181"/>
      <c r="R571" s="181"/>
      <c r="S571" s="181"/>
      <c r="T571" s="181"/>
      <c r="U571" s="181"/>
      <c r="V571" s="181"/>
      <c r="W571" s="181"/>
      <c r="X571" s="181"/>
      <c r="Y571" s="181"/>
      <c r="Z571" s="181"/>
      <c r="AA571" s="181"/>
      <c r="AB571" s="181"/>
      <c r="AC571" s="181"/>
      <c r="AD571" s="181"/>
      <c r="AE571" s="181"/>
      <c r="AF571" s="181"/>
      <c r="AG571" s="181"/>
      <c r="AH571" s="181"/>
      <c r="AI571" s="181"/>
      <c r="AJ571" s="181"/>
      <c r="AK571" s="181"/>
      <c r="AL571" s="181"/>
      <c r="AM571" s="181"/>
      <c r="AN571" s="181"/>
      <c r="AO571" s="181"/>
      <c r="AP571" s="181"/>
      <c r="AQ571" s="181"/>
      <c r="AR571" s="181"/>
      <c r="AS571" s="181"/>
      <c r="AT571" s="181"/>
      <c r="AU571" s="181"/>
      <c r="AV571" s="181"/>
      <c r="AW571" s="181"/>
      <c r="AX571" s="181"/>
      <c r="AY571" s="181"/>
      <c r="AZ571" s="181"/>
      <c r="BA571" s="181"/>
      <c r="BB571" s="181"/>
      <c r="BC571" s="173"/>
      <c r="BD571" s="173"/>
      <c r="BE571" s="173"/>
      <c r="BF571" s="173"/>
      <c r="BG571" s="173"/>
      <c r="BH571" s="173"/>
      <c r="BI571" s="173"/>
      <c r="BJ571" s="173"/>
      <c r="BK571" s="173"/>
      <c r="BL571" s="173"/>
      <c r="BM571" s="173"/>
    </row>
    <row r="572" spans="1:65">
      <c r="A572" s="181"/>
      <c r="B572" s="181"/>
      <c r="C572" s="181"/>
      <c r="D572" s="181"/>
      <c r="E572" s="181"/>
      <c r="F572" s="181"/>
      <c r="G572" s="181"/>
      <c r="H572" s="181"/>
      <c r="I572" s="181"/>
      <c r="J572" s="181"/>
      <c r="K572" s="254"/>
      <c r="L572" s="181"/>
      <c r="M572" s="181"/>
      <c r="N572" s="181"/>
      <c r="O572" s="181"/>
      <c r="P572" s="181"/>
      <c r="Q572" s="181"/>
      <c r="R572" s="181"/>
      <c r="S572" s="181"/>
      <c r="T572" s="181"/>
      <c r="U572" s="181"/>
      <c r="V572" s="181"/>
      <c r="W572" s="181"/>
      <c r="X572" s="181"/>
      <c r="Y572" s="181"/>
      <c r="Z572" s="181"/>
      <c r="AA572" s="181"/>
      <c r="AB572" s="181"/>
      <c r="AC572" s="181"/>
      <c r="AD572" s="181"/>
      <c r="AE572" s="181"/>
      <c r="AF572" s="181"/>
      <c r="AG572" s="181"/>
      <c r="AH572" s="181"/>
      <c r="AI572" s="181"/>
      <c r="AJ572" s="181"/>
      <c r="AK572" s="181"/>
      <c r="AL572" s="181"/>
      <c r="AM572" s="181"/>
      <c r="AN572" s="181"/>
      <c r="AO572" s="181"/>
      <c r="AP572" s="181"/>
      <c r="AQ572" s="181"/>
      <c r="AR572" s="181"/>
      <c r="AS572" s="181"/>
      <c r="AT572" s="181"/>
      <c r="AU572" s="181"/>
      <c r="AV572" s="181"/>
      <c r="AW572" s="181"/>
      <c r="AX572" s="181"/>
      <c r="AY572" s="181"/>
      <c r="AZ572" s="181"/>
      <c r="BA572" s="181"/>
      <c r="BB572" s="181"/>
      <c r="BC572" s="173"/>
      <c r="BD572" s="173"/>
      <c r="BE572" s="173"/>
      <c r="BF572" s="173"/>
      <c r="BG572" s="173"/>
      <c r="BH572" s="173"/>
      <c r="BI572" s="173"/>
      <c r="BJ572" s="173"/>
      <c r="BK572" s="173"/>
      <c r="BL572" s="173"/>
      <c r="BM572" s="173"/>
    </row>
    <row r="573" spans="1:65">
      <c r="A573" s="181"/>
      <c r="B573" s="181"/>
      <c r="C573" s="181"/>
      <c r="D573" s="181"/>
      <c r="E573" s="181"/>
      <c r="F573" s="181"/>
      <c r="G573" s="181"/>
      <c r="H573" s="181"/>
      <c r="I573" s="181"/>
      <c r="J573" s="181"/>
      <c r="K573" s="254"/>
      <c r="L573" s="181"/>
      <c r="M573" s="181"/>
      <c r="N573" s="181"/>
      <c r="O573" s="181"/>
      <c r="P573" s="181"/>
      <c r="Q573" s="181"/>
      <c r="R573" s="181"/>
      <c r="S573" s="181"/>
      <c r="T573" s="181"/>
      <c r="U573" s="181"/>
      <c r="V573" s="181"/>
      <c r="W573" s="181"/>
      <c r="X573" s="181"/>
      <c r="Y573" s="181"/>
      <c r="Z573" s="181"/>
      <c r="AA573" s="181"/>
      <c r="AB573" s="181"/>
      <c r="AC573" s="181"/>
      <c r="AD573" s="181"/>
      <c r="AE573" s="181"/>
      <c r="AF573" s="181"/>
      <c r="AG573" s="181"/>
      <c r="AH573" s="181"/>
      <c r="AI573" s="181"/>
      <c r="AJ573" s="181"/>
      <c r="AK573" s="181"/>
      <c r="AL573" s="181"/>
      <c r="AM573" s="181"/>
      <c r="AN573" s="181"/>
      <c r="AO573" s="181"/>
      <c r="AP573" s="181"/>
      <c r="AQ573" s="181"/>
      <c r="AR573" s="181"/>
      <c r="AS573" s="181"/>
      <c r="AT573" s="181"/>
      <c r="AU573" s="181"/>
      <c r="AV573" s="181"/>
      <c r="AW573" s="181"/>
      <c r="AX573" s="181"/>
      <c r="AY573" s="181"/>
      <c r="AZ573" s="181"/>
      <c r="BA573" s="181"/>
      <c r="BB573" s="181"/>
      <c r="BC573" s="173"/>
      <c r="BD573" s="173"/>
      <c r="BE573" s="173"/>
      <c r="BF573" s="173"/>
      <c r="BG573" s="173"/>
      <c r="BH573" s="173"/>
      <c r="BI573" s="173"/>
      <c r="BJ573" s="173"/>
      <c r="BK573" s="173"/>
      <c r="BL573" s="173"/>
      <c r="BM573" s="173"/>
    </row>
    <row r="574" spans="1:65">
      <c r="A574" s="181"/>
      <c r="B574" s="181"/>
      <c r="C574" s="181"/>
      <c r="D574" s="181"/>
      <c r="E574" s="181"/>
      <c r="F574" s="181"/>
      <c r="G574" s="181"/>
      <c r="H574" s="181"/>
      <c r="I574" s="181"/>
      <c r="J574" s="181"/>
      <c r="K574" s="254"/>
      <c r="L574" s="181"/>
      <c r="M574" s="181"/>
      <c r="N574" s="181"/>
      <c r="O574" s="181"/>
      <c r="P574" s="181"/>
      <c r="Q574" s="181"/>
      <c r="R574" s="181"/>
      <c r="S574" s="181"/>
      <c r="T574" s="181"/>
      <c r="U574" s="181"/>
      <c r="V574" s="181"/>
      <c r="W574" s="181"/>
      <c r="X574" s="181"/>
      <c r="Y574" s="181"/>
      <c r="Z574" s="181"/>
      <c r="AA574" s="181"/>
      <c r="AB574" s="181"/>
      <c r="AC574" s="181"/>
      <c r="AD574" s="181"/>
      <c r="AE574" s="181"/>
      <c r="AF574" s="181"/>
      <c r="AG574" s="181"/>
      <c r="AH574" s="181"/>
      <c r="AI574" s="181"/>
      <c r="AJ574" s="181"/>
      <c r="AK574" s="181"/>
      <c r="AL574" s="181"/>
      <c r="AM574" s="181"/>
      <c r="AN574" s="181"/>
      <c r="AO574" s="181"/>
      <c r="AP574" s="181"/>
      <c r="AQ574" s="181"/>
      <c r="AR574" s="181"/>
      <c r="AS574" s="181"/>
      <c r="AT574" s="181"/>
      <c r="AU574" s="181"/>
      <c r="AV574" s="181"/>
      <c r="AW574" s="181"/>
      <c r="AX574" s="181"/>
      <c r="AY574" s="181"/>
      <c r="AZ574" s="181"/>
      <c r="BA574" s="181"/>
      <c r="BB574" s="181"/>
      <c r="BC574" s="173"/>
      <c r="BD574" s="173"/>
      <c r="BE574" s="173"/>
      <c r="BF574" s="173"/>
      <c r="BG574" s="173"/>
      <c r="BH574" s="173"/>
      <c r="BI574" s="173"/>
      <c r="BJ574" s="173"/>
      <c r="BK574" s="173"/>
      <c r="BL574" s="173"/>
      <c r="BM574" s="173"/>
    </row>
    <row r="575" spans="1:65">
      <c r="A575" s="181"/>
      <c r="B575" s="181"/>
      <c r="C575" s="181"/>
      <c r="D575" s="181"/>
      <c r="E575" s="181"/>
      <c r="F575" s="181"/>
      <c r="G575" s="181"/>
      <c r="H575" s="181"/>
      <c r="I575" s="181"/>
      <c r="J575" s="181"/>
      <c r="K575" s="254"/>
      <c r="L575" s="181"/>
      <c r="M575" s="181"/>
      <c r="N575" s="181"/>
      <c r="O575" s="181"/>
      <c r="P575" s="181"/>
      <c r="Q575" s="181"/>
      <c r="R575" s="181"/>
      <c r="S575" s="181"/>
      <c r="T575" s="181"/>
      <c r="U575" s="181"/>
      <c r="V575" s="181"/>
      <c r="W575" s="181"/>
      <c r="X575" s="181"/>
      <c r="Y575" s="181"/>
      <c r="Z575" s="181"/>
      <c r="AA575" s="181"/>
      <c r="AB575" s="181"/>
      <c r="AC575" s="181"/>
      <c r="AD575" s="181"/>
      <c r="AE575" s="181"/>
      <c r="AF575" s="181"/>
      <c r="AG575" s="181"/>
      <c r="AH575" s="181"/>
      <c r="AI575" s="181"/>
      <c r="AJ575" s="181"/>
      <c r="AK575" s="181"/>
      <c r="AL575" s="181"/>
      <c r="AM575" s="181"/>
      <c r="AN575" s="181"/>
      <c r="AO575" s="181"/>
      <c r="AP575" s="181"/>
      <c r="AQ575" s="181"/>
      <c r="AR575" s="181"/>
      <c r="AS575" s="181"/>
      <c r="AT575" s="181"/>
      <c r="AU575" s="181"/>
      <c r="AV575" s="181"/>
      <c r="AW575" s="181"/>
      <c r="AX575" s="181"/>
      <c r="AY575" s="181"/>
      <c r="AZ575" s="181"/>
      <c r="BA575" s="181"/>
      <c r="BB575" s="181"/>
      <c r="BC575" s="173"/>
      <c r="BD575" s="173"/>
      <c r="BE575" s="173"/>
      <c r="BF575" s="173"/>
      <c r="BG575" s="173"/>
      <c r="BH575" s="173"/>
      <c r="BI575" s="173"/>
      <c r="BJ575" s="173"/>
      <c r="BK575" s="173"/>
      <c r="BL575" s="173"/>
      <c r="BM575" s="173"/>
    </row>
    <row r="576" spans="1:65">
      <c r="A576" s="181"/>
      <c r="B576" s="181"/>
      <c r="C576" s="181"/>
      <c r="D576" s="181"/>
      <c r="E576" s="181"/>
      <c r="F576" s="181"/>
      <c r="G576" s="181"/>
      <c r="H576" s="181"/>
      <c r="I576" s="181"/>
      <c r="J576" s="181"/>
      <c r="K576" s="254"/>
      <c r="L576" s="181"/>
      <c r="M576" s="181"/>
      <c r="N576" s="181"/>
      <c r="O576" s="181"/>
      <c r="P576" s="181"/>
      <c r="Q576" s="181"/>
      <c r="R576" s="181"/>
      <c r="S576" s="181"/>
      <c r="T576" s="181"/>
      <c r="U576" s="181"/>
      <c r="V576" s="181"/>
      <c r="W576" s="181"/>
      <c r="X576" s="181"/>
      <c r="Y576" s="181"/>
      <c r="Z576" s="181"/>
      <c r="AA576" s="181"/>
      <c r="AB576" s="181"/>
      <c r="AC576" s="181"/>
      <c r="AD576" s="181"/>
      <c r="AE576" s="181"/>
      <c r="AF576" s="181"/>
      <c r="AG576" s="181"/>
      <c r="AH576" s="181"/>
      <c r="AI576" s="181"/>
      <c r="AJ576" s="181"/>
      <c r="AK576" s="181"/>
      <c r="AL576" s="181"/>
      <c r="AM576" s="181"/>
      <c r="AN576" s="181"/>
      <c r="AO576" s="181"/>
      <c r="AP576" s="181"/>
      <c r="AQ576" s="181"/>
      <c r="AR576" s="181"/>
      <c r="AS576" s="181"/>
      <c r="AT576" s="181"/>
      <c r="AU576" s="181"/>
      <c r="AV576" s="181"/>
      <c r="AW576" s="181"/>
      <c r="AX576" s="181"/>
      <c r="AY576" s="181"/>
      <c r="AZ576" s="181"/>
      <c r="BA576" s="181"/>
      <c r="BB576" s="181"/>
      <c r="BC576" s="173"/>
      <c r="BD576" s="173"/>
      <c r="BE576" s="173"/>
      <c r="BF576" s="173"/>
      <c r="BG576" s="173"/>
      <c r="BH576" s="173"/>
      <c r="BI576" s="173"/>
      <c r="BJ576" s="173"/>
      <c r="BK576" s="173"/>
      <c r="BL576" s="173"/>
      <c r="BM576" s="173"/>
    </row>
    <row r="577" spans="1:65">
      <c r="A577" s="181"/>
      <c r="B577" s="181"/>
      <c r="C577" s="181"/>
      <c r="D577" s="181"/>
      <c r="E577" s="181"/>
      <c r="F577" s="181"/>
      <c r="G577" s="181"/>
      <c r="H577" s="181"/>
      <c r="I577" s="181"/>
      <c r="J577" s="181"/>
      <c r="K577" s="254"/>
      <c r="L577" s="181"/>
      <c r="M577" s="181"/>
      <c r="N577" s="181"/>
      <c r="O577" s="181"/>
      <c r="P577" s="181"/>
      <c r="Q577" s="181"/>
      <c r="R577" s="181"/>
      <c r="S577" s="181"/>
      <c r="T577" s="181"/>
      <c r="U577" s="181"/>
      <c r="V577" s="181"/>
      <c r="W577" s="181"/>
      <c r="X577" s="181"/>
      <c r="Y577" s="181"/>
      <c r="Z577" s="181"/>
      <c r="AA577" s="181"/>
      <c r="AB577" s="181"/>
      <c r="AC577" s="181"/>
      <c r="AD577" s="181"/>
      <c r="AE577" s="181"/>
      <c r="AF577" s="181"/>
      <c r="AG577" s="181"/>
      <c r="AH577" s="181"/>
      <c r="AI577" s="181"/>
      <c r="AJ577" s="181"/>
      <c r="AK577" s="181"/>
      <c r="AL577" s="181"/>
      <c r="AM577" s="181"/>
      <c r="AN577" s="181"/>
      <c r="AO577" s="181"/>
      <c r="AP577" s="181"/>
      <c r="AQ577" s="181"/>
      <c r="AR577" s="181"/>
      <c r="AS577" s="181"/>
      <c r="AT577" s="181"/>
      <c r="AU577" s="181"/>
      <c r="AV577" s="181"/>
      <c r="AW577" s="181"/>
      <c r="AX577" s="181"/>
      <c r="AY577" s="181"/>
      <c r="AZ577" s="181"/>
      <c r="BA577" s="181"/>
      <c r="BB577" s="181"/>
      <c r="BC577" s="173"/>
      <c r="BD577" s="173"/>
      <c r="BE577" s="173"/>
      <c r="BF577" s="173"/>
      <c r="BG577" s="173"/>
      <c r="BH577" s="173"/>
      <c r="BI577" s="173"/>
      <c r="BJ577" s="173"/>
      <c r="BK577" s="173"/>
      <c r="BL577" s="173"/>
      <c r="BM577" s="173"/>
    </row>
    <row r="578" spans="1:65">
      <c r="A578" s="181"/>
      <c r="B578" s="181"/>
      <c r="C578" s="181"/>
      <c r="D578" s="181"/>
      <c r="E578" s="181"/>
      <c r="F578" s="181"/>
      <c r="G578" s="181"/>
      <c r="H578" s="181"/>
      <c r="I578" s="181"/>
      <c r="J578" s="181"/>
      <c r="K578" s="254"/>
      <c r="L578" s="181"/>
      <c r="M578" s="181"/>
      <c r="N578" s="181"/>
      <c r="O578" s="181"/>
      <c r="P578" s="181"/>
      <c r="Q578" s="181"/>
      <c r="R578" s="181"/>
      <c r="S578" s="181"/>
      <c r="T578" s="181"/>
      <c r="U578" s="181"/>
      <c r="V578" s="181"/>
      <c r="W578" s="181"/>
      <c r="X578" s="181"/>
      <c r="Y578" s="181"/>
      <c r="Z578" s="181"/>
      <c r="AA578" s="181"/>
      <c r="AB578" s="181"/>
      <c r="AC578" s="181"/>
      <c r="AD578" s="181"/>
      <c r="AE578" s="181"/>
      <c r="AF578" s="181"/>
      <c r="AG578" s="181"/>
      <c r="AH578" s="181"/>
      <c r="AI578" s="181"/>
      <c r="AJ578" s="181"/>
      <c r="AK578" s="181"/>
      <c r="AL578" s="181"/>
      <c r="AM578" s="181"/>
      <c r="AN578" s="181"/>
      <c r="AO578" s="181"/>
      <c r="AP578" s="181"/>
      <c r="AQ578" s="181"/>
      <c r="AR578" s="181"/>
      <c r="AS578" s="181"/>
      <c r="AT578" s="181"/>
      <c r="AU578" s="181"/>
      <c r="AV578" s="181"/>
      <c r="AW578" s="181"/>
      <c r="AX578" s="181"/>
      <c r="AY578" s="181"/>
      <c r="AZ578" s="181"/>
      <c r="BA578" s="181"/>
      <c r="BB578" s="181"/>
      <c r="BC578" s="173"/>
      <c r="BD578" s="173"/>
      <c r="BE578" s="173"/>
      <c r="BF578" s="173"/>
      <c r="BG578" s="173"/>
      <c r="BH578" s="173"/>
      <c r="BI578" s="173"/>
      <c r="BJ578" s="173"/>
      <c r="BK578" s="173"/>
      <c r="BL578" s="173"/>
      <c r="BM578" s="173"/>
    </row>
    <row r="579" spans="1:65">
      <c r="A579" s="181"/>
      <c r="B579" s="181"/>
      <c r="C579" s="181"/>
      <c r="D579" s="181"/>
      <c r="E579" s="181"/>
      <c r="F579" s="181"/>
      <c r="G579" s="181"/>
      <c r="H579" s="181"/>
      <c r="I579" s="181"/>
      <c r="J579" s="181"/>
      <c r="K579" s="254"/>
      <c r="L579" s="181"/>
      <c r="M579" s="181"/>
      <c r="N579" s="181"/>
      <c r="O579" s="181"/>
      <c r="P579" s="181"/>
      <c r="Q579" s="181"/>
      <c r="R579" s="181"/>
      <c r="S579" s="181"/>
      <c r="T579" s="181"/>
      <c r="U579" s="181"/>
      <c r="V579" s="181"/>
      <c r="W579" s="181"/>
      <c r="X579" s="181"/>
      <c r="Y579" s="181"/>
      <c r="Z579" s="181"/>
      <c r="AA579" s="181"/>
      <c r="AB579" s="181"/>
      <c r="AC579" s="181"/>
      <c r="AD579" s="181"/>
      <c r="AE579" s="181"/>
      <c r="AF579" s="181"/>
      <c r="AG579" s="181"/>
      <c r="AH579" s="181"/>
      <c r="AI579" s="181"/>
      <c r="AJ579" s="181"/>
      <c r="AK579" s="181"/>
      <c r="AL579" s="181"/>
      <c r="AM579" s="181"/>
      <c r="AN579" s="181"/>
      <c r="AO579" s="181"/>
      <c r="AP579" s="181"/>
      <c r="AQ579" s="181"/>
      <c r="AR579" s="181"/>
      <c r="AS579" s="181"/>
      <c r="AT579" s="181"/>
      <c r="AU579" s="181"/>
      <c r="AV579" s="181"/>
      <c r="AW579" s="181"/>
      <c r="AX579" s="181"/>
      <c r="AY579" s="181"/>
      <c r="AZ579" s="181"/>
      <c r="BA579" s="181"/>
      <c r="BB579" s="181"/>
      <c r="BC579" s="173"/>
      <c r="BD579" s="173"/>
      <c r="BE579" s="173"/>
      <c r="BF579" s="173"/>
      <c r="BG579" s="173"/>
      <c r="BH579" s="173"/>
      <c r="BI579" s="173"/>
      <c r="BJ579" s="173"/>
      <c r="BK579" s="173"/>
      <c r="BL579" s="173"/>
      <c r="BM579" s="173"/>
    </row>
    <row r="580" spans="1:65">
      <c r="A580" s="181"/>
      <c r="B580" s="181"/>
      <c r="C580" s="181"/>
      <c r="D580" s="181"/>
      <c r="E580" s="181"/>
      <c r="F580" s="181"/>
      <c r="G580" s="181"/>
      <c r="H580" s="181"/>
      <c r="I580" s="181"/>
      <c r="J580" s="181"/>
      <c r="K580" s="254"/>
      <c r="L580" s="181"/>
      <c r="M580" s="181"/>
      <c r="N580" s="181"/>
      <c r="O580" s="181"/>
      <c r="P580" s="181"/>
      <c r="Q580" s="181"/>
      <c r="R580" s="181"/>
      <c r="S580" s="181"/>
      <c r="T580" s="181"/>
      <c r="U580" s="181"/>
      <c r="V580" s="181"/>
      <c r="W580" s="181"/>
      <c r="X580" s="181"/>
      <c r="Y580" s="181"/>
      <c r="Z580" s="181"/>
      <c r="AA580" s="181"/>
      <c r="AB580" s="181"/>
      <c r="AC580" s="181"/>
      <c r="AD580" s="181"/>
      <c r="AE580" s="181"/>
      <c r="AF580" s="181"/>
      <c r="AG580" s="181"/>
      <c r="AH580" s="181"/>
      <c r="AI580" s="181"/>
      <c r="AJ580" s="181"/>
      <c r="AK580" s="181"/>
      <c r="AL580" s="181"/>
      <c r="AM580" s="181"/>
      <c r="AN580" s="181"/>
      <c r="AO580" s="181"/>
      <c r="AP580" s="181"/>
      <c r="AQ580" s="181"/>
      <c r="AR580" s="181"/>
      <c r="AS580" s="181"/>
      <c r="AT580" s="181"/>
      <c r="AU580" s="181"/>
      <c r="AV580" s="181"/>
      <c r="AW580" s="181"/>
      <c r="AX580" s="181"/>
      <c r="AY580" s="181"/>
      <c r="AZ580" s="181"/>
      <c r="BA580" s="181"/>
      <c r="BB580" s="181"/>
      <c r="BC580" s="173"/>
      <c r="BD580" s="173"/>
      <c r="BE580" s="173"/>
      <c r="BF580" s="173"/>
      <c r="BG580" s="173"/>
      <c r="BH580" s="173"/>
      <c r="BI580" s="173"/>
      <c r="BJ580" s="173"/>
      <c r="BK580" s="173"/>
      <c r="BL580" s="173"/>
      <c r="BM580" s="173"/>
    </row>
    <row r="581" spans="1:65">
      <c r="A581" s="181"/>
      <c r="B581" s="181"/>
      <c r="C581" s="181"/>
      <c r="D581" s="181"/>
      <c r="E581" s="181"/>
      <c r="F581" s="181"/>
      <c r="G581" s="181"/>
      <c r="H581" s="181"/>
      <c r="I581" s="181"/>
      <c r="J581" s="181"/>
      <c r="K581" s="254"/>
      <c r="L581" s="181"/>
      <c r="M581" s="181"/>
      <c r="N581" s="181"/>
      <c r="O581" s="181"/>
      <c r="P581" s="181"/>
      <c r="Q581" s="181"/>
      <c r="R581" s="181"/>
      <c r="S581" s="181"/>
      <c r="T581" s="181"/>
      <c r="U581" s="181"/>
      <c r="V581" s="181"/>
      <c r="W581" s="181"/>
      <c r="X581" s="181"/>
      <c r="Y581" s="181"/>
      <c r="Z581" s="181"/>
      <c r="AA581" s="181"/>
      <c r="AB581" s="181"/>
      <c r="AC581" s="181"/>
      <c r="AD581" s="181"/>
      <c r="AE581" s="181"/>
      <c r="AF581" s="181"/>
      <c r="AG581" s="181"/>
      <c r="AH581" s="181"/>
      <c r="AI581" s="181"/>
      <c r="AJ581" s="181"/>
      <c r="AK581" s="181"/>
      <c r="AL581" s="181"/>
      <c r="AM581" s="181"/>
      <c r="AN581" s="181"/>
      <c r="AO581" s="181"/>
      <c r="AP581" s="181"/>
      <c r="AQ581" s="181"/>
      <c r="AR581" s="181"/>
      <c r="AS581" s="181"/>
      <c r="AT581" s="181"/>
      <c r="AU581" s="181"/>
      <c r="AV581" s="181"/>
      <c r="AW581" s="181"/>
      <c r="AX581" s="181"/>
      <c r="AY581" s="181"/>
      <c r="AZ581" s="181"/>
      <c r="BA581" s="181"/>
      <c r="BB581" s="181"/>
      <c r="BC581" s="173"/>
      <c r="BD581" s="173"/>
      <c r="BE581" s="173"/>
      <c r="BF581" s="173"/>
      <c r="BG581" s="173"/>
      <c r="BH581" s="173"/>
      <c r="BI581" s="173"/>
      <c r="BJ581" s="173"/>
      <c r="BK581" s="173"/>
      <c r="BL581" s="173"/>
      <c r="BM581" s="173"/>
    </row>
    <row r="582" spans="1:65">
      <c r="A582" s="181"/>
      <c r="B582" s="181"/>
      <c r="C582" s="181"/>
      <c r="D582" s="181"/>
      <c r="E582" s="181"/>
      <c r="F582" s="181"/>
      <c r="G582" s="181"/>
      <c r="H582" s="181"/>
      <c r="I582" s="181"/>
      <c r="J582" s="181"/>
      <c r="K582" s="254"/>
      <c r="L582" s="181"/>
      <c r="M582" s="181"/>
      <c r="N582" s="181"/>
      <c r="O582" s="181"/>
      <c r="P582" s="181"/>
      <c r="Q582" s="181"/>
      <c r="R582" s="181"/>
      <c r="S582" s="181"/>
      <c r="T582" s="181"/>
      <c r="U582" s="181"/>
      <c r="V582" s="181"/>
      <c r="W582" s="181"/>
      <c r="X582" s="181"/>
      <c r="Y582" s="181"/>
      <c r="Z582" s="181"/>
      <c r="AA582" s="181"/>
      <c r="AB582" s="181"/>
      <c r="AC582" s="181"/>
      <c r="AD582" s="181"/>
      <c r="AE582" s="181"/>
      <c r="AF582" s="181"/>
      <c r="AG582" s="181"/>
      <c r="AH582" s="181"/>
      <c r="AI582" s="181"/>
      <c r="AJ582" s="181"/>
      <c r="AK582" s="181"/>
      <c r="AL582" s="181"/>
      <c r="AM582" s="181"/>
      <c r="AN582" s="181"/>
      <c r="AO582" s="181"/>
      <c r="AP582" s="181"/>
      <c r="AQ582" s="181"/>
      <c r="AR582" s="181"/>
      <c r="AS582" s="181"/>
      <c r="AT582" s="181"/>
      <c r="AU582" s="181"/>
      <c r="AV582" s="181"/>
      <c r="AW582" s="181"/>
      <c r="AX582" s="181"/>
      <c r="AY582" s="181"/>
      <c r="AZ582" s="181"/>
      <c r="BA582" s="181"/>
      <c r="BB582" s="181"/>
      <c r="BC582" s="173"/>
      <c r="BD582" s="173"/>
      <c r="BE582" s="173"/>
      <c r="BF582" s="173"/>
      <c r="BG582" s="173"/>
      <c r="BH582" s="173"/>
      <c r="BI582" s="173"/>
      <c r="BJ582" s="173"/>
      <c r="BK582" s="173"/>
      <c r="BL582" s="173"/>
      <c r="BM582" s="173"/>
    </row>
    <row r="583" spans="1:65">
      <c r="A583" s="181"/>
      <c r="B583" s="181"/>
      <c r="C583" s="181"/>
      <c r="D583" s="181"/>
      <c r="E583" s="181"/>
      <c r="F583" s="181"/>
      <c r="G583" s="181"/>
      <c r="H583" s="181"/>
      <c r="I583" s="181"/>
      <c r="J583" s="181"/>
      <c r="K583" s="254"/>
      <c r="L583" s="181"/>
      <c r="M583" s="181"/>
      <c r="N583" s="181"/>
      <c r="O583" s="181"/>
      <c r="P583" s="181"/>
      <c r="Q583" s="181"/>
      <c r="R583" s="181"/>
      <c r="S583" s="181"/>
      <c r="T583" s="181"/>
      <c r="U583" s="181"/>
      <c r="V583" s="181"/>
      <c r="W583" s="181"/>
      <c r="X583" s="181"/>
      <c r="Y583" s="181"/>
      <c r="Z583" s="181"/>
      <c r="AA583" s="181"/>
      <c r="AB583" s="181"/>
      <c r="AC583" s="181"/>
      <c r="AD583" s="181"/>
      <c r="AE583" s="181"/>
      <c r="AF583" s="181"/>
      <c r="AG583" s="181"/>
      <c r="AH583" s="181"/>
      <c r="AI583" s="181"/>
      <c r="AJ583" s="181"/>
      <c r="AK583" s="181"/>
      <c r="AL583" s="181"/>
      <c r="AM583" s="181"/>
      <c r="AN583" s="181"/>
      <c r="AO583" s="181"/>
      <c r="AP583" s="181"/>
      <c r="AQ583" s="181"/>
      <c r="AR583" s="181"/>
      <c r="AS583" s="181"/>
      <c r="AT583" s="181"/>
      <c r="AU583" s="181"/>
      <c r="AV583" s="181"/>
      <c r="AW583" s="181"/>
      <c r="AX583" s="181"/>
      <c r="AY583" s="181"/>
      <c r="AZ583" s="181"/>
      <c r="BA583" s="181"/>
      <c r="BB583" s="181"/>
      <c r="BC583" s="173"/>
      <c r="BD583" s="173"/>
      <c r="BE583" s="173"/>
      <c r="BF583" s="173"/>
      <c r="BG583" s="173"/>
      <c r="BH583" s="173"/>
      <c r="BI583" s="173"/>
      <c r="BJ583" s="173"/>
      <c r="BK583" s="173"/>
      <c r="BL583" s="173"/>
      <c r="BM583" s="173"/>
    </row>
    <row r="584" spans="1:65">
      <c r="A584" s="181"/>
      <c r="B584" s="181"/>
      <c r="C584" s="181"/>
      <c r="D584" s="181"/>
      <c r="E584" s="181"/>
      <c r="F584" s="181"/>
      <c r="G584" s="181"/>
      <c r="H584" s="181"/>
      <c r="I584" s="181"/>
      <c r="J584" s="181"/>
      <c r="K584" s="254"/>
      <c r="L584" s="181"/>
      <c r="M584" s="181"/>
      <c r="N584" s="181"/>
      <c r="O584" s="181"/>
      <c r="P584" s="181"/>
      <c r="Q584" s="181"/>
      <c r="R584" s="181"/>
      <c r="S584" s="181"/>
      <c r="T584" s="181"/>
      <c r="U584" s="181"/>
      <c r="V584" s="181"/>
      <c r="W584" s="181"/>
      <c r="X584" s="181"/>
      <c r="Y584" s="181"/>
      <c r="Z584" s="181"/>
      <c r="AA584" s="181"/>
      <c r="AB584" s="181"/>
      <c r="AC584" s="181"/>
      <c r="AD584" s="181"/>
      <c r="AE584" s="181"/>
      <c r="AF584" s="181"/>
      <c r="AG584" s="181"/>
      <c r="AH584" s="181"/>
      <c r="AI584" s="181"/>
      <c r="AJ584" s="181"/>
      <c r="AK584" s="181"/>
      <c r="AL584" s="181"/>
      <c r="AM584" s="181"/>
      <c r="AN584" s="181"/>
      <c r="AO584" s="181"/>
      <c r="AP584" s="181"/>
      <c r="AQ584" s="181"/>
      <c r="AR584" s="181"/>
      <c r="AS584" s="181"/>
      <c r="AT584" s="181"/>
      <c r="AU584" s="181"/>
      <c r="AV584" s="181"/>
      <c r="AW584" s="181"/>
      <c r="AX584" s="181"/>
      <c r="AY584" s="181"/>
      <c r="AZ584" s="181"/>
      <c r="BA584" s="181"/>
      <c r="BB584" s="181"/>
      <c r="BC584" s="173"/>
      <c r="BD584" s="173"/>
      <c r="BE584" s="173"/>
      <c r="BF584" s="173"/>
      <c r="BG584" s="173"/>
      <c r="BH584" s="173"/>
      <c r="BI584" s="173"/>
      <c r="BJ584" s="173"/>
      <c r="BK584" s="173"/>
      <c r="BL584" s="173"/>
      <c r="BM584" s="173"/>
    </row>
    <row r="585" spans="1:65">
      <c r="A585" s="181"/>
      <c r="B585" s="181"/>
      <c r="C585" s="181"/>
      <c r="D585" s="181"/>
      <c r="E585" s="181"/>
      <c r="F585" s="181"/>
      <c r="G585" s="181"/>
      <c r="H585" s="181"/>
      <c r="I585" s="181"/>
      <c r="J585" s="181"/>
      <c r="K585" s="254"/>
      <c r="L585" s="181"/>
      <c r="M585" s="181"/>
      <c r="N585" s="181"/>
      <c r="O585" s="181"/>
      <c r="P585" s="181"/>
      <c r="Q585" s="181"/>
      <c r="R585" s="181"/>
      <c r="S585" s="181"/>
      <c r="T585" s="181"/>
      <c r="U585" s="181"/>
      <c r="V585" s="181"/>
      <c r="W585" s="181"/>
      <c r="X585" s="181"/>
      <c r="Y585" s="181"/>
      <c r="Z585" s="181"/>
      <c r="AA585" s="181"/>
      <c r="AB585" s="181"/>
      <c r="AC585" s="181"/>
      <c r="AD585" s="181"/>
      <c r="AE585" s="181"/>
      <c r="AF585" s="181"/>
      <c r="AG585" s="181"/>
      <c r="AH585" s="181"/>
      <c r="AI585" s="181"/>
      <c r="AJ585" s="181"/>
      <c r="AK585" s="181"/>
      <c r="AL585" s="181"/>
      <c r="AM585" s="181"/>
      <c r="AN585" s="181"/>
      <c r="AO585" s="181"/>
      <c r="AP585" s="181"/>
      <c r="AQ585" s="181"/>
      <c r="AR585" s="181"/>
      <c r="AS585" s="181"/>
      <c r="AT585" s="181"/>
      <c r="AU585" s="181"/>
      <c r="AV585" s="181"/>
      <c r="AW585" s="181"/>
      <c r="AX585" s="181"/>
      <c r="AY585" s="181"/>
      <c r="AZ585" s="181"/>
      <c r="BA585" s="181"/>
      <c r="BB585" s="181"/>
      <c r="BC585" s="173"/>
      <c r="BD585" s="173"/>
      <c r="BE585" s="173"/>
      <c r="BF585" s="173"/>
      <c r="BG585" s="173"/>
      <c r="BH585" s="173"/>
      <c r="BI585" s="173"/>
      <c r="BJ585" s="173"/>
      <c r="BK585" s="173"/>
      <c r="BL585" s="173"/>
      <c r="BM585" s="173"/>
    </row>
    <row r="586" spans="1:65">
      <c r="A586" s="181"/>
      <c r="B586" s="181"/>
      <c r="C586" s="181"/>
      <c r="D586" s="181"/>
      <c r="E586" s="181"/>
      <c r="F586" s="181"/>
      <c r="G586" s="181"/>
      <c r="H586" s="181"/>
      <c r="I586" s="181"/>
      <c r="J586" s="181"/>
      <c r="K586" s="254"/>
      <c r="L586" s="181"/>
      <c r="M586" s="181"/>
      <c r="N586" s="181"/>
      <c r="O586" s="181"/>
      <c r="P586" s="181"/>
      <c r="Q586" s="181"/>
      <c r="R586" s="181"/>
      <c r="S586" s="181"/>
      <c r="T586" s="181"/>
      <c r="U586" s="181"/>
      <c r="V586" s="181"/>
      <c r="W586" s="181"/>
      <c r="X586" s="181"/>
      <c r="Y586" s="181"/>
      <c r="Z586" s="181"/>
      <c r="AA586" s="181"/>
      <c r="AB586" s="181"/>
      <c r="AC586" s="181"/>
      <c r="AD586" s="181"/>
      <c r="AE586" s="181"/>
      <c r="AF586" s="181"/>
      <c r="AG586" s="181"/>
      <c r="AH586" s="181"/>
      <c r="AI586" s="181"/>
      <c r="AJ586" s="181"/>
      <c r="AK586" s="181"/>
      <c r="AL586" s="181"/>
      <c r="AM586" s="181"/>
      <c r="AN586" s="181"/>
      <c r="AO586" s="181"/>
      <c r="AP586" s="181"/>
      <c r="AQ586" s="181"/>
      <c r="AR586" s="181"/>
      <c r="AS586" s="181"/>
      <c r="AT586" s="181"/>
      <c r="AU586" s="181"/>
      <c r="AV586" s="181"/>
      <c r="AW586" s="181"/>
      <c r="AX586" s="181"/>
      <c r="AY586" s="181"/>
      <c r="AZ586" s="181"/>
      <c r="BA586" s="181"/>
      <c r="BB586" s="181"/>
      <c r="BC586" s="173"/>
      <c r="BD586" s="173"/>
      <c r="BE586" s="173"/>
      <c r="BF586" s="173"/>
      <c r="BG586" s="173"/>
      <c r="BH586" s="173"/>
      <c r="BI586" s="173"/>
      <c r="BJ586" s="173"/>
      <c r="BK586" s="173"/>
      <c r="BL586" s="173"/>
      <c r="BM586" s="173"/>
    </row>
    <row r="587" spans="1:65">
      <c r="A587" s="181"/>
      <c r="B587" s="181"/>
      <c r="C587" s="181"/>
      <c r="D587" s="181"/>
      <c r="E587" s="181"/>
      <c r="F587" s="181"/>
      <c r="G587" s="181"/>
      <c r="H587" s="181"/>
      <c r="I587" s="181"/>
      <c r="J587" s="181"/>
      <c r="K587" s="254"/>
      <c r="L587" s="181"/>
      <c r="M587" s="181"/>
      <c r="N587" s="181"/>
      <c r="O587" s="181"/>
      <c r="P587" s="181"/>
      <c r="Q587" s="181"/>
      <c r="R587" s="181"/>
      <c r="S587" s="181"/>
      <c r="T587" s="181"/>
      <c r="U587" s="181"/>
      <c r="V587" s="181"/>
      <c r="W587" s="181"/>
      <c r="X587" s="181"/>
      <c r="Y587" s="181"/>
      <c r="Z587" s="181"/>
      <c r="AA587" s="181"/>
      <c r="AB587" s="181"/>
      <c r="AC587" s="181"/>
      <c r="AD587" s="181"/>
      <c r="AE587" s="181"/>
      <c r="AF587" s="181"/>
      <c r="AG587" s="181"/>
      <c r="AH587" s="181"/>
      <c r="AI587" s="181"/>
      <c r="AJ587" s="181"/>
      <c r="AK587" s="181"/>
      <c r="AL587" s="181"/>
      <c r="AM587" s="181"/>
      <c r="AN587" s="181"/>
      <c r="AO587" s="181"/>
      <c r="AP587" s="181"/>
      <c r="AQ587" s="181"/>
      <c r="AR587" s="181"/>
      <c r="AS587" s="181"/>
      <c r="AT587" s="181"/>
      <c r="AU587" s="181"/>
      <c r="AV587" s="181"/>
      <c r="AW587" s="181"/>
      <c r="AX587" s="181"/>
      <c r="AY587" s="181"/>
      <c r="AZ587" s="181"/>
      <c r="BA587" s="181"/>
      <c r="BB587" s="181"/>
      <c r="BC587" s="173"/>
      <c r="BD587" s="173"/>
      <c r="BE587" s="173"/>
      <c r="BF587" s="173"/>
      <c r="BG587" s="173"/>
      <c r="BH587" s="173"/>
      <c r="BI587" s="173"/>
      <c r="BJ587" s="173"/>
      <c r="BK587" s="173"/>
      <c r="BL587" s="173"/>
      <c r="BM587" s="173"/>
    </row>
    <row r="588" spans="1:65">
      <c r="A588" s="181"/>
      <c r="B588" s="181"/>
      <c r="C588" s="181"/>
      <c r="D588" s="181"/>
      <c r="E588" s="181"/>
      <c r="F588" s="181"/>
      <c r="G588" s="181"/>
      <c r="H588" s="181"/>
      <c r="I588" s="181"/>
      <c r="J588" s="181"/>
      <c r="K588" s="254"/>
      <c r="L588" s="181"/>
      <c r="M588" s="181"/>
      <c r="N588" s="181"/>
      <c r="O588" s="181"/>
      <c r="P588" s="181"/>
      <c r="Q588" s="181"/>
      <c r="R588" s="181"/>
      <c r="S588" s="181"/>
      <c r="T588" s="181"/>
      <c r="U588" s="181"/>
      <c r="V588" s="181"/>
      <c r="W588" s="181"/>
      <c r="X588" s="181"/>
      <c r="Y588" s="181"/>
      <c r="Z588" s="181"/>
      <c r="AA588" s="181"/>
      <c r="AB588" s="181"/>
      <c r="AC588" s="181"/>
      <c r="AD588" s="181"/>
      <c r="AE588" s="181"/>
      <c r="AF588" s="181"/>
      <c r="AG588" s="181"/>
      <c r="AH588" s="181"/>
      <c r="AI588" s="181"/>
      <c r="AJ588" s="181"/>
      <c r="AK588" s="181"/>
      <c r="AL588" s="181"/>
      <c r="AM588" s="181"/>
      <c r="AN588" s="181"/>
      <c r="AO588" s="181"/>
      <c r="AP588" s="181"/>
      <c r="AQ588" s="181"/>
      <c r="AR588" s="181"/>
      <c r="AS588" s="181"/>
      <c r="AT588" s="181"/>
      <c r="AU588" s="181"/>
      <c r="AV588" s="181"/>
      <c r="AW588" s="181"/>
      <c r="AX588" s="181"/>
      <c r="AY588" s="181"/>
      <c r="AZ588" s="181"/>
      <c r="BA588" s="181"/>
      <c r="BB588" s="181"/>
      <c r="BC588" s="173"/>
      <c r="BD588" s="173"/>
      <c r="BE588" s="173"/>
      <c r="BF588" s="173"/>
      <c r="BG588" s="173"/>
      <c r="BH588" s="173"/>
      <c r="BI588" s="173"/>
      <c r="BJ588" s="173"/>
      <c r="BK588" s="173"/>
      <c r="BL588" s="173"/>
      <c r="BM588" s="173"/>
    </row>
    <row r="589" spans="1:65">
      <c r="A589" s="181"/>
      <c r="B589" s="181"/>
      <c r="C589" s="181"/>
      <c r="D589" s="181"/>
      <c r="E589" s="181"/>
      <c r="F589" s="181"/>
      <c r="G589" s="181"/>
      <c r="H589" s="181"/>
      <c r="I589" s="181"/>
      <c r="J589" s="181"/>
      <c r="K589" s="254"/>
      <c r="L589" s="181"/>
      <c r="M589" s="181"/>
      <c r="N589" s="181"/>
      <c r="O589" s="181"/>
      <c r="P589" s="181"/>
      <c r="Q589" s="181"/>
      <c r="R589" s="181"/>
      <c r="S589" s="181"/>
      <c r="T589" s="181"/>
      <c r="U589" s="181"/>
      <c r="V589" s="181"/>
      <c r="W589" s="181"/>
      <c r="X589" s="181"/>
      <c r="Y589" s="181"/>
      <c r="Z589" s="181"/>
      <c r="AA589" s="181"/>
      <c r="AB589" s="181"/>
      <c r="AC589" s="181"/>
      <c r="AD589" s="181"/>
      <c r="AE589" s="181"/>
      <c r="AF589" s="181"/>
      <c r="AG589" s="181"/>
      <c r="AH589" s="181"/>
      <c r="AI589" s="181"/>
      <c r="AJ589" s="181"/>
      <c r="AK589" s="181"/>
      <c r="AL589" s="181"/>
      <c r="AM589" s="181"/>
      <c r="AN589" s="181"/>
      <c r="AO589" s="181"/>
      <c r="AP589" s="181"/>
      <c r="AQ589" s="181"/>
      <c r="AR589" s="181"/>
      <c r="AS589" s="181"/>
      <c r="AT589" s="181"/>
      <c r="AU589" s="181"/>
      <c r="AV589" s="181"/>
      <c r="AW589" s="181"/>
      <c r="AX589" s="181"/>
      <c r="AY589" s="181"/>
      <c r="AZ589" s="181"/>
      <c r="BA589" s="181"/>
      <c r="BB589" s="181"/>
      <c r="BC589" s="173"/>
      <c r="BD589" s="173"/>
      <c r="BE589" s="173"/>
      <c r="BF589" s="173"/>
      <c r="BG589" s="173"/>
      <c r="BH589" s="173"/>
      <c r="BI589" s="173"/>
      <c r="BJ589" s="173"/>
      <c r="BK589" s="173"/>
      <c r="BL589" s="173"/>
      <c r="BM589" s="173"/>
    </row>
    <row r="590" spans="1:65">
      <c r="A590" s="181"/>
      <c r="B590" s="181"/>
      <c r="C590" s="181"/>
      <c r="D590" s="181"/>
      <c r="E590" s="181"/>
      <c r="F590" s="181"/>
      <c r="G590" s="181"/>
      <c r="H590" s="181"/>
      <c r="I590" s="181"/>
      <c r="J590" s="181"/>
      <c r="K590" s="254"/>
      <c r="L590" s="181"/>
      <c r="M590" s="181"/>
      <c r="N590" s="181"/>
      <c r="O590" s="181"/>
      <c r="P590" s="181"/>
      <c r="Q590" s="181"/>
      <c r="R590" s="181"/>
      <c r="S590" s="181"/>
      <c r="T590" s="181"/>
      <c r="U590" s="181"/>
      <c r="V590" s="181"/>
      <c r="W590" s="181"/>
      <c r="X590" s="181"/>
      <c r="Y590" s="181"/>
      <c r="Z590" s="181"/>
      <c r="AA590" s="181"/>
      <c r="AB590" s="181"/>
      <c r="AC590" s="181"/>
      <c r="AD590" s="181"/>
      <c r="AE590" s="181"/>
      <c r="AF590" s="181"/>
      <c r="AG590" s="181"/>
      <c r="AH590" s="181"/>
      <c r="AI590" s="181"/>
      <c r="AJ590" s="181"/>
      <c r="AK590" s="181"/>
      <c r="AL590" s="181"/>
      <c r="AM590" s="181"/>
      <c r="AN590" s="181"/>
      <c r="AO590" s="181"/>
      <c r="AP590" s="181"/>
      <c r="AQ590" s="181"/>
      <c r="AR590" s="181"/>
      <c r="AS590" s="181"/>
      <c r="AT590" s="181"/>
      <c r="AU590" s="181"/>
      <c r="AV590" s="181"/>
      <c r="AW590" s="181"/>
      <c r="AX590" s="181"/>
      <c r="AY590" s="181"/>
      <c r="AZ590" s="181"/>
      <c r="BA590" s="181"/>
      <c r="BB590" s="181"/>
      <c r="BC590" s="173"/>
      <c r="BD590" s="173"/>
      <c r="BE590" s="173"/>
      <c r="BF590" s="173"/>
      <c r="BG590" s="173"/>
      <c r="BH590" s="173"/>
      <c r="BI590" s="173"/>
      <c r="BJ590" s="173"/>
      <c r="BK590" s="173"/>
      <c r="BL590" s="173"/>
      <c r="BM590" s="173"/>
    </row>
    <row r="591" spans="1:65">
      <c r="A591" s="173"/>
      <c r="B591" s="173"/>
      <c r="C591" s="173"/>
      <c r="D591" s="173"/>
      <c r="E591" s="173"/>
      <c r="F591" s="173"/>
      <c r="G591" s="173"/>
      <c r="H591" s="173"/>
      <c r="I591" s="173"/>
      <c r="J591" s="173"/>
      <c r="K591" s="322"/>
      <c r="L591" s="173"/>
      <c r="M591" s="173"/>
      <c r="Q591" s="173"/>
      <c r="R591" s="173"/>
      <c r="S591" s="173"/>
      <c r="T591" s="173"/>
      <c r="U591" s="173"/>
      <c r="V591" s="173"/>
      <c r="W591" s="173"/>
      <c r="X591" s="173"/>
      <c r="Y591" s="173"/>
      <c r="Z591" s="173"/>
      <c r="AA591" s="173"/>
      <c r="AB591" s="173"/>
      <c r="AC591" s="173"/>
      <c r="AD591" s="173"/>
      <c r="AE591" s="173"/>
      <c r="AF591" s="173"/>
      <c r="AG591" s="173"/>
      <c r="AH591" s="173"/>
      <c r="AI591" s="173"/>
      <c r="AJ591" s="173"/>
      <c r="AK591" s="173"/>
      <c r="AL591" s="173"/>
      <c r="AM591" s="173"/>
      <c r="AN591" s="173"/>
      <c r="AO591" s="173"/>
      <c r="AP591" s="173"/>
      <c r="AQ591" s="173"/>
      <c r="AR591" s="173"/>
      <c r="AS591" s="173"/>
      <c r="AT591" s="173"/>
      <c r="AU591" s="173"/>
      <c r="AV591" s="173"/>
      <c r="AW591" s="173"/>
      <c r="AX591" s="173"/>
      <c r="AY591" s="173"/>
      <c r="AZ591" s="173"/>
      <c r="BA591" s="173"/>
      <c r="BB591" s="173"/>
      <c r="BC591" s="173"/>
      <c r="BD591" s="173"/>
      <c r="BE591" s="173"/>
      <c r="BF591" s="173"/>
      <c r="BG591" s="173"/>
      <c r="BH591" s="173"/>
      <c r="BI591" s="173"/>
      <c r="BJ591" s="173"/>
      <c r="BK591" s="173"/>
      <c r="BL591" s="173"/>
      <c r="BM591" s="173"/>
    </row>
    <row r="592" spans="1:65">
      <c r="A592" s="173"/>
      <c r="B592" s="173"/>
      <c r="C592" s="173"/>
      <c r="D592" s="173"/>
      <c r="E592" s="173"/>
      <c r="F592" s="173"/>
      <c r="G592" s="173"/>
      <c r="H592" s="173"/>
      <c r="I592" s="173"/>
      <c r="J592" s="173"/>
      <c r="K592" s="322"/>
      <c r="L592" s="173"/>
      <c r="M592" s="173"/>
      <c r="Q592" s="173"/>
      <c r="R592" s="173"/>
      <c r="S592" s="173"/>
      <c r="T592" s="173"/>
      <c r="U592" s="173"/>
      <c r="V592" s="173"/>
      <c r="W592" s="173"/>
      <c r="X592" s="173"/>
      <c r="Y592" s="173"/>
      <c r="Z592" s="173"/>
      <c r="AA592" s="173"/>
      <c r="AB592" s="173"/>
      <c r="AC592" s="173"/>
      <c r="AD592" s="173"/>
      <c r="AE592" s="173"/>
      <c r="AF592" s="173"/>
      <c r="AG592" s="173"/>
      <c r="AH592" s="173"/>
      <c r="AI592" s="173"/>
      <c r="AJ592" s="173"/>
      <c r="AK592" s="173"/>
      <c r="AL592" s="173"/>
      <c r="AM592" s="173"/>
      <c r="AN592" s="173"/>
      <c r="AO592" s="173"/>
      <c r="AP592" s="173"/>
      <c r="AQ592" s="173"/>
      <c r="AR592" s="173"/>
      <c r="AS592" s="173"/>
      <c r="AT592" s="173"/>
      <c r="AU592" s="173"/>
      <c r="AV592" s="173"/>
      <c r="AW592" s="173"/>
      <c r="AX592" s="173"/>
      <c r="AY592" s="173"/>
      <c r="AZ592" s="173"/>
      <c r="BA592" s="173"/>
      <c r="BB592" s="173"/>
      <c r="BC592" s="173"/>
      <c r="BD592" s="173"/>
      <c r="BE592" s="173"/>
      <c r="BF592" s="173"/>
      <c r="BG592" s="173"/>
      <c r="BH592" s="173"/>
      <c r="BI592" s="173"/>
      <c r="BJ592" s="173"/>
      <c r="BK592" s="173"/>
      <c r="BL592" s="173"/>
      <c r="BM592" s="173"/>
    </row>
    <row r="593" spans="1:65">
      <c r="A593" s="173"/>
      <c r="B593" s="173"/>
      <c r="C593" s="173"/>
      <c r="D593" s="173"/>
      <c r="E593" s="173"/>
      <c r="F593" s="173"/>
      <c r="G593" s="173"/>
      <c r="H593" s="173"/>
      <c r="I593" s="173"/>
      <c r="J593" s="173"/>
      <c r="K593" s="322"/>
      <c r="L593" s="173"/>
      <c r="M593" s="173"/>
      <c r="Q593" s="173"/>
      <c r="R593" s="173"/>
      <c r="S593" s="173"/>
      <c r="T593" s="173"/>
      <c r="U593" s="173"/>
      <c r="V593" s="173"/>
      <c r="W593" s="173"/>
      <c r="X593" s="173"/>
      <c r="Y593" s="173"/>
      <c r="Z593" s="173"/>
      <c r="AA593" s="173"/>
      <c r="AB593" s="173"/>
      <c r="AC593" s="173"/>
      <c r="AD593" s="173"/>
      <c r="AE593" s="173"/>
      <c r="AF593" s="173"/>
      <c r="AG593" s="173"/>
      <c r="AH593" s="173"/>
      <c r="AI593" s="173"/>
      <c r="AJ593" s="173"/>
      <c r="AK593" s="173"/>
      <c r="AL593" s="173"/>
      <c r="AM593" s="173"/>
      <c r="AN593" s="173"/>
      <c r="AO593" s="173"/>
      <c r="AP593" s="173"/>
      <c r="AQ593" s="173"/>
      <c r="AR593" s="173"/>
      <c r="AS593" s="173"/>
      <c r="AT593" s="173"/>
      <c r="AU593" s="173"/>
      <c r="AV593" s="173"/>
      <c r="AW593" s="173"/>
      <c r="AX593" s="173"/>
      <c r="AY593" s="173"/>
      <c r="AZ593" s="173"/>
      <c r="BA593" s="173"/>
      <c r="BB593" s="173"/>
      <c r="BC593" s="173"/>
      <c r="BD593" s="173"/>
      <c r="BE593" s="173"/>
      <c r="BF593" s="173"/>
      <c r="BG593" s="173"/>
      <c r="BH593" s="173"/>
      <c r="BI593" s="173"/>
      <c r="BJ593" s="173"/>
      <c r="BK593" s="173"/>
      <c r="BL593" s="173"/>
      <c r="BM593" s="173"/>
    </row>
    <row r="594" spans="1:65">
      <c r="A594" s="173"/>
      <c r="B594" s="173"/>
      <c r="C594" s="173"/>
      <c r="D594" s="173"/>
      <c r="E594" s="173"/>
      <c r="F594" s="173"/>
      <c r="G594" s="173"/>
      <c r="H594" s="173"/>
      <c r="I594" s="173"/>
      <c r="J594" s="173"/>
      <c r="K594" s="322"/>
      <c r="L594" s="173"/>
      <c r="M594" s="173"/>
      <c r="Q594" s="173"/>
      <c r="R594" s="173"/>
      <c r="S594" s="173"/>
      <c r="T594" s="173"/>
      <c r="U594" s="173"/>
      <c r="V594" s="173"/>
      <c r="W594" s="173"/>
      <c r="X594" s="173"/>
      <c r="Y594" s="173"/>
      <c r="Z594" s="173"/>
      <c r="AA594" s="173"/>
      <c r="AB594" s="173"/>
      <c r="AC594" s="173"/>
      <c r="AD594" s="173"/>
      <c r="AE594" s="173"/>
      <c r="AF594" s="173"/>
      <c r="AG594" s="173"/>
      <c r="AH594" s="173"/>
      <c r="AI594" s="173"/>
      <c r="AJ594" s="173"/>
      <c r="AK594" s="173"/>
      <c r="AL594" s="173"/>
      <c r="AM594" s="173"/>
      <c r="AN594" s="173"/>
      <c r="AO594" s="173"/>
      <c r="AP594" s="173"/>
      <c r="AQ594" s="173"/>
      <c r="AR594" s="173"/>
      <c r="AS594" s="173"/>
      <c r="AT594" s="173"/>
      <c r="AU594" s="173"/>
      <c r="AV594" s="173"/>
      <c r="AW594" s="173"/>
      <c r="AX594" s="173"/>
      <c r="AY594" s="173"/>
      <c r="AZ594" s="173"/>
      <c r="BA594" s="173"/>
      <c r="BB594" s="173"/>
      <c r="BC594" s="173"/>
      <c r="BD594" s="173"/>
      <c r="BE594" s="173"/>
      <c r="BF594" s="173"/>
      <c r="BG594" s="173"/>
      <c r="BH594" s="173"/>
      <c r="BI594" s="173"/>
      <c r="BJ594" s="173"/>
      <c r="BK594" s="173"/>
      <c r="BL594" s="173"/>
      <c r="BM594" s="173"/>
    </row>
    <row r="595" spans="1:65">
      <c r="A595" s="173"/>
      <c r="B595" s="173"/>
      <c r="C595" s="173"/>
      <c r="D595" s="173"/>
      <c r="E595" s="173"/>
      <c r="F595" s="173"/>
      <c r="G595" s="173"/>
      <c r="H595" s="173"/>
      <c r="I595" s="173"/>
      <c r="J595" s="173"/>
      <c r="K595" s="322"/>
      <c r="L595" s="173"/>
      <c r="M595" s="173"/>
      <c r="Q595" s="173"/>
      <c r="R595" s="173"/>
      <c r="S595" s="173"/>
      <c r="T595" s="173"/>
      <c r="U595" s="173"/>
      <c r="V595" s="173"/>
      <c r="W595" s="173"/>
      <c r="X595" s="173"/>
      <c r="Y595" s="173"/>
      <c r="Z595" s="173"/>
      <c r="AA595" s="173"/>
      <c r="AB595" s="173"/>
      <c r="AC595" s="173"/>
      <c r="AD595" s="173"/>
      <c r="AE595" s="173"/>
      <c r="AF595" s="173"/>
      <c r="AG595" s="173"/>
      <c r="AH595" s="173"/>
      <c r="AI595" s="173"/>
      <c r="AJ595" s="173"/>
      <c r="AK595" s="173"/>
      <c r="AL595" s="173"/>
      <c r="AM595" s="173"/>
      <c r="AN595" s="173"/>
      <c r="AO595" s="173"/>
      <c r="AP595" s="173"/>
      <c r="AQ595" s="173"/>
      <c r="AR595" s="173"/>
      <c r="AS595" s="173"/>
      <c r="AT595" s="173"/>
      <c r="AU595" s="173"/>
      <c r="AV595" s="173"/>
      <c r="AW595" s="173"/>
      <c r="AX595" s="173"/>
      <c r="AY595" s="173"/>
      <c r="AZ595" s="173"/>
      <c r="BA595" s="173"/>
      <c r="BB595" s="173"/>
      <c r="BC595" s="173"/>
      <c r="BD595" s="173"/>
      <c r="BE595" s="173"/>
      <c r="BF595" s="173"/>
      <c r="BG595" s="173"/>
      <c r="BH595" s="173"/>
      <c r="BI595" s="173"/>
      <c r="BJ595" s="173"/>
      <c r="BK595" s="173"/>
      <c r="BL595" s="173"/>
      <c r="BM595" s="173"/>
    </row>
    <row r="596" spans="1:65">
      <c r="A596" s="173"/>
      <c r="B596" s="173"/>
      <c r="C596" s="173"/>
      <c r="D596" s="173"/>
      <c r="E596" s="173"/>
      <c r="F596" s="173"/>
      <c r="G596" s="173"/>
      <c r="H596" s="173"/>
      <c r="I596" s="173"/>
      <c r="J596" s="173"/>
      <c r="K596" s="322"/>
      <c r="L596" s="173"/>
      <c r="M596" s="173"/>
      <c r="Q596" s="173"/>
      <c r="R596" s="173"/>
      <c r="S596" s="173"/>
      <c r="T596" s="173"/>
      <c r="U596" s="173"/>
      <c r="V596" s="173"/>
      <c r="W596" s="173"/>
      <c r="X596" s="173"/>
      <c r="Y596" s="173"/>
      <c r="Z596" s="173"/>
      <c r="AA596" s="173"/>
      <c r="AB596" s="173"/>
      <c r="AC596" s="173"/>
      <c r="AD596" s="173"/>
      <c r="AE596" s="173"/>
      <c r="AF596" s="173"/>
      <c r="AG596" s="173"/>
      <c r="AH596" s="173"/>
      <c r="AI596" s="173"/>
      <c r="AJ596" s="173"/>
      <c r="AK596" s="173"/>
      <c r="AL596" s="173"/>
      <c r="AM596" s="173"/>
      <c r="AN596" s="173"/>
      <c r="AO596" s="173"/>
      <c r="AP596" s="173"/>
      <c r="AQ596" s="173"/>
      <c r="AR596" s="173"/>
      <c r="AS596" s="173"/>
      <c r="AT596" s="173"/>
      <c r="AU596" s="173"/>
      <c r="AV596" s="173"/>
      <c r="AW596" s="173"/>
      <c r="AX596" s="173"/>
      <c r="AY596" s="173"/>
      <c r="AZ596" s="173"/>
      <c r="BA596" s="173"/>
      <c r="BB596" s="173"/>
      <c r="BC596" s="173"/>
      <c r="BD596" s="173"/>
      <c r="BE596" s="173"/>
      <c r="BF596" s="173"/>
      <c r="BG596" s="173"/>
      <c r="BH596" s="173"/>
      <c r="BI596" s="173"/>
      <c r="BJ596" s="173"/>
      <c r="BK596" s="173"/>
      <c r="BL596" s="173"/>
      <c r="BM596" s="173"/>
    </row>
    <row r="597" spans="1:65">
      <c r="A597" s="173"/>
      <c r="B597" s="173"/>
      <c r="C597" s="173"/>
      <c r="D597" s="173"/>
      <c r="E597" s="173"/>
      <c r="F597" s="173"/>
      <c r="G597" s="173"/>
      <c r="H597" s="173"/>
      <c r="I597" s="173"/>
      <c r="J597" s="173"/>
      <c r="K597" s="322"/>
      <c r="L597" s="173"/>
      <c r="M597" s="173"/>
      <c r="Q597" s="173"/>
      <c r="R597" s="173"/>
      <c r="S597" s="173"/>
      <c r="T597" s="173"/>
      <c r="U597" s="173"/>
      <c r="V597" s="173"/>
      <c r="W597" s="173"/>
      <c r="X597" s="173"/>
      <c r="Y597" s="173"/>
      <c r="Z597" s="173"/>
      <c r="AA597" s="173"/>
      <c r="AB597" s="173"/>
      <c r="AC597" s="173"/>
      <c r="AD597" s="173"/>
      <c r="AE597" s="173"/>
      <c r="AF597" s="173"/>
      <c r="AG597" s="173"/>
      <c r="AH597" s="173"/>
      <c r="AI597" s="173"/>
      <c r="AJ597" s="173"/>
      <c r="AK597" s="173"/>
      <c r="AL597" s="173"/>
      <c r="AM597" s="173"/>
      <c r="AN597" s="173"/>
      <c r="AO597" s="173"/>
      <c r="AP597" s="173"/>
      <c r="AQ597" s="173"/>
      <c r="AR597" s="173"/>
      <c r="AS597" s="173"/>
      <c r="AT597" s="173"/>
      <c r="AU597" s="173"/>
      <c r="AV597" s="173"/>
      <c r="AW597" s="173"/>
      <c r="AX597" s="173"/>
      <c r="AY597" s="173"/>
      <c r="AZ597" s="173"/>
      <c r="BA597" s="173"/>
      <c r="BB597" s="173"/>
      <c r="BC597" s="173"/>
      <c r="BD597" s="173"/>
      <c r="BE597" s="173"/>
      <c r="BF597" s="173"/>
      <c r="BG597" s="173"/>
      <c r="BH597" s="173"/>
      <c r="BI597" s="173"/>
      <c r="BJ597" s="173"/>
      <c r="BK597" s="173"/>
      <c r="BL597" s="173"/>
      <c r="BM597" s="173"/>
    </row>
    <row r="598" spans="1:65">
      <c r="A598" s="173"/>
      <c r="B598" s="173"/>
      <c r="C598" s="173"/>
      <c r="D598" s="173"/>
      <c r="E598" s="173"/>
      <c r="F598" s="173"/>
      <c r="G598" s="173"/>
      <c r="H598" s="173"/>
      <c r="I598" s="173"/>
      <c r="J598" s="173"/>
      <c r="K598" s="322"/>
      <c r="L598" s="173"/>
      <c r="M598" s="173"/>
      <c r="Q598" s="173"/>
      <c r="R598" s="173"/>
      <c r="S598" s="173"/>
      <c r="T598" s="173"/>
      <c r="U598" s="173"/>
      <c r="V598" s="173"/>
      <c r="W598" s="173"/>
      <c r="X598" s="173"/>
      <c r="Y598" s="173"/>
      <c r="Z598" s="173"/>
      <c r="AA598" s="173"/>
      <c r="AB598" s="173"/>
      <c r="AC598" s="173"/>
      <c r="AD598" s="173"/>
      <c r="AE598" s="173"/>
      <c r="AF598" s="173"/>
      <c r="AG598" s="173"/>
      <c r="AH598" s="173"/>
      <c r="AI598" s="173"/>
      <c r="AJ598" s="173"/>
      <c r="AK598" s="173"/>
      <c r="AL598" s="173"/>
      <c r="AM598" s="173"/>
      <c r="AN598" s="173"/>
      <c r="AO598" s="173"/>
      <c r="AP598" s="173"/>
      <c r="AQ598" s="173"/>
      <c r="AR598" s="173"/>
      <c r="AS598" s="173"/>
      <c r="AT598" s="173"/>
      <c r="AU598" s="173"/>
      <c r="AV598" s="173"/>
      <c r="AW598" s="173"/>
      <c r="AX598" s="173"/>
      <c r="AY598" s="173"/>
      <c r="AZ598" s="173"/>
      <c r="BA598" s="173"/>
      <c r="BB598" s="173"/>
      <c r="BC598" s="173"/>
      <c r="BD598" s="173"/>
      <c r="BE598" s="173"/>
      <c r="BF598" s="173"/>
      <c r="BG598" s="173"/>
      <c r="BH598" s="173"/>
      <c r="BI598" s="173"/>
      <c r="BJ598" s="173"/>
      <c r="BK598" s="173"/>
      <c r="BL598" s="173"/>
      <c r="BM598" s="173"/>
    </row>
    <row r="599" spans="1:65">
      <c r="A599" s="173"/>
      <c r="B599" s="173"/>
      <c r="C599" s="173"/>
      <c r="D599" s="173"/>
      <c r="E599" s="173"/>
      <c r="F599" s="173"/>
      <c r="G599" s="173"/>
      <c r="H599" s="173"/>
      <c r="I599" s="173"/>
      <c r="J599" s="173"/>
      <c r="K599" s="322"/>
      <c r="L599" s="173"/>
      <c r="M599" s="173"/>
      <c r="Q599" s="173"/>
      <c r="R599" s="173"/>
      <c r="S599" s="173"/>
      <c r="T599" s="173"/>
      <c r="U599" s="173"/>
      <c r="V599" s="173"/>
      <c r="W599" s="173"/>
      <c r="X599" s="173"/>
      <c r="Y599" s="173"/>
      <c r="Z599" s="173"/>
      <c r="AA599" s="173"/>
      <c r="AB599" s="173"/>
      <c r="AC599" s="173"/>
      <c r="AD599" s="173"/>
      <c r="AE599" s="173"/>
      <c r="AF599" s="173"/>
      <c r="AG599" s="173"/>
      <c r="AH599" s="173"/>
      <c r="AI599" s="173"/>
      <c r="AJ599" s="173"/>
      <c r="AK599" s="173"/>
      <c r="AL599" s="173"/>
      <c r="AM599" s="173"/>
      <c r="AN599" s="173"/>
      <c r="AO599" s="173"/>
      <c r="AP599" s="173"/>
      <c r="AQ599" s="173"/>
      <c r="AR599" s="173"/>
      <c r="AS599" s="173"/>
      <c r="AT599" s="173"/>
      <c r="AU599" s="173"/>
      <c r="AV599" s="173"/>
      <c r="AW599" s="173"/>
      <c r="AX599" s="173"/>
      <c r="AY599" s="173"/>
      <c r="AZ599" s="173"/>
      <c r="BA599" s="173"/>
      <c r="BB599" s="173"/>
      <c r="BC599" s="173"/>
      <c r="BD599" s="173"/>
      <c r="BE599" s="173"/>
      <c r="BF599" s="173"/>
      <c r="BG599" s="173"/>
      <c r="BH599" s="173"/>
      <c r="BI599" s="173"/>
      <c r="BJ599" s="173"/>
      <c r="BK599" s="173"/>
      <c r="BL599" s="173"/>
      <c r="BM599" s="173"/>
    </row>
    <row r="600" spans="1:65">
      <c r="A600" s="173"/>
      <c r="B600" s="173"/>
      <c r="C600" s="173"/>
      <c r="D600" s="173"/>
      <c r="E600" s="173"/>
      <c r="F600" s="173"/>
      <c r="G600" s="173"/>
      <c r="H600" s="173"/>
      <c r="I600" s="173"/>
      <c r="J600" s="173"/>
      <c r="K600" s="322"/>
      <c r="L600" s="173"/>
      <c r="M600" s="173"/>
      <c r="Q600" s="173"/>
      <c r="R600" s="173"/>
      <c r="S600" s="173"/>
      <c r="T600" s="173"/>
      <c r="U600" s="173"/>
      <c r="V600" s="173"/>
      <c r="W600" s="173"/>
      <c r="X600" s="173"/>
      <c r="Y600" s="173"/>
      <c r="Z600" s="173"/>
      <c r="AA600" s="173"/>
      <c r="AB600" s="173"/>
      <c r="AC600" s="173"/>
      <c r="AD600" s="173"/>
      <c r="AE600" s="173"/>
      <c r="AF600" s="173"/>
      <c r="AG600" s="173"/>
      <c r="AH600" s="173"/>
      <c r="AI600" s="173"/>
      <c r="AJ600" s="173"/>
      <c r="AK600" s="173"/>
      <c r="AL600" s="173"/>
      <c r="AM600" s="173"/>
      <c r="AN600" s="173"/>
      <c r="AO600" s="173"/>
      <c r="AP600" s="173"/>
      <c r="AQ600" s="173"/>
      <c r="AR600" s="173"/>
      <c r="AS600" s="173"/>
      <c r="AT600" s="173"/>
      <c r="AU600" s="173"/>
      <c r="AV600" s="173"/>
      <c r="AW600" s="173"/>
      <c r="AX600" s="173"/>
      <c r="AY600" s="173"/>
      <c r="AZ600" s="173"/>
      <c r="BA600" s="173"/>
      <c r="BB600" s="173"/>
      <c r="BC600" s="173"/>
      <c r="BD600" s="173"/>
      <c r="BE600" s="173"/>
      <c r="BF600" s="173"/>
      <c r="BG600" s="173"/>
      <c r="BH600" s="173"/>
      <c r="BI600" s="173"/>
      <c r="BJ600" s="173"/>
      <c r="BK600" s="173"/>
      <c r="BL600" s="173"/>
      <c r="BM600" s="173"/>
    </row>
    <row r="601" spans="1:65">
      <c r="A601" s="173"/>
      <c r="B601" s="173"/>
      <c r="C601" s="173"/>
      <c r="D601" s="173"/>
      <c r="E601" s="173"/>
      <c r="F601" s="173"/>
      <c r="G601" s="173"/>
      <c r="H601" s="173"/>
      <c r="I601" s="173"/>
      <c r="J601" s="173"/>
      <c r="K601" s="322"/>
      <c r="L601" s="173"/>
      <c r="M601" s="173"/>
      <c r="Q601" s="173"/>
      <c r="R601" s="173"/>
      <c r="S601" s="173"/>
      <c r="T601" s="173"/>
      <c r="U601" s="173"/>
      <c r="V601" s="173"/>
      <c r="W601" s="173"/>
      <c r="X601" s="173"/>
      <c r="Y601" s="173"/>
      <c r="Z601" s="173"/>
      <c r="AA601" s="173"/>
      <c r="AB601" s="173"/>
      <c r="AC601" s="173"/>
      <c r="AD601" s="173"/>
      <c r="AE601" s="173"/>
      <c r="AF601" s="173"/>
      <c r="AG601" s="173"/>
      <c r="AH601" s="173"/>
      <c r="AI601" s="173"/>
      <c r="AJ601" s="173"/>
      <c r="AK601" s="173"/>
      <c r="AL601" s="173"/>
      <c r="AM601" s="173"/>
      <c r="AN601" s="173"/>
      <c r="AO601" s="173"/>
      <c r="AP601" s="173"/>
      <c r="AQ601" s="173"/>
      <c r="AR601" s="173"/>
      <c r="AS601" s="173"/>
      <c r="AT601" s="173"/>
      <c r="AU601" s="173"/>
      <c r="AV601" s="173"/>
      <c r="AW601" s="173"/>
      <c r="AX601" s="173"/>
      <c r="AY601" s="173"/>
      <c r="AZ601" s="173"/>
      <c r="BA601" s="173"/>
      <c r="BB601" s="173"/>
      <c r="BC601" s="173"/>
      <c r="BD601" s="173"/>
      <c r="BE601" s="173"/>
      <c r="BF601" s="173"/>
      <c r="BG601" s="173"/>
      <c r="BH601" s="173"/>
      <c r="BI601" s="173"/>
      <c r="BJ601" s="173"/>
      <c r="BK601" s="173"/>
      <c r="BL601" s="173"/>
      <c r="BM601" s="173"/>
    </row>
    <row r="602" spans="1:65">
      <c r="A602" s="173"/>
      <c r="B602" s="173"/>
      <c r="C602" s="173"/>
      <c r="D602" s="173"/>
      <c r="E602" s="173"/>
      <c r="F602" s="173"/>
      <c r="G602" s="173"/>
      <c r="H602" s="173"/>
      <c r="I602" s="173"/>
      <c r="J602" s="173"/>
      <c r="K602" s="322"/>
      <c r="L602" s="173"/>
      <c r="M602" s="173"/>
      <c r="Q602" s="173"/>
      <c r="R602" s="173"/>
      <c r="S602" s="173"/>
      <c r="T602" s="173"/>
      <c r="U602" s="173"/>
      <c r="V602" s="173"/>
      <c r="W602" s="173"/>
      <c r="X602" s="173"/>
      <c r="Y602" s="173"/>
      <c r="Z602" s="173"/>
      <c r="AA602" s="173"/>
      <c r="AB602" s="173"/>
      <c r="AC602" s="173"/>
      <c r="AD602" s="173"/>
      <c r="AE602" s="173"/>
      <c r="AF602" s="173"/>
      <c r="AG602" s="173"/>
      <c r="AH602" s="173"/>
      <c r="AI602" s="173"/>
      <c r="AJ602" s="173"/>
      <c r="AK602" s="173"/>
      <c r="AL602" s="173"/>
      <c r="AM602" s="173"/>
      <c r="AN602" s="173"/>
      <c r="AO602" s="173"/>
      <c r="AP602" s="173"/>
      <c r="AQ602" s="173"/>
      <c r="AR602" s="173"/>
      <c r="AS602" s="173"/>
      <c r="AT602" s="173"/>
      <c r="AU602" s="173"/>
      <c r="AV602" s="173"/>
      <c r="AW602" s="173"/>
      <c r="AX602" s="173"/>
      <c r="AY602" s="173"/>
      <c r="AZ602" s="173"/>
      <c r="BA602" s="173"/>
      <c r="BB602" s="173"/>
      <c r="BC602" s="173"/>
      <c r="BD602" s="173"/>
      <c r="BE602" s="173"/>
      <c r="BF602" s="173"/>
      <c r="BG602" s="173"/>
      <c r="BH602" s="173"/>
      <c r="BI602" s="173"/>
      <c r="BJ602" s="173"/>
      <c r="BK602" s="173"/>
      <c r="BL602" s="173"/>
      <c r="BM602" s="173"/>
    </row>
    <row r="603" spans="1:65">
      <c r="A603" s="173"/>
      <c r="B603" s="173"/>
      <c r="C603" s="173"/>
      <c r="D603" s="173"/>
      <c r="E603" s="173"/>
      <c r="F603" s="173"/>
      <c r="G603" s="173"/>
      <c r="H603" s="173"/>
      <c r="I603" s="173"/>
      <c r="J603" s="173"/>
      <c r="K603" s="322"/>
      <c r="L603" s="173"/>
      <c r="M603" s="173"/>
      <c r="Q603" s="173"/>
      <c r="R603" s="173"/>
      <c r="S603" s="173"/>
      <c r="T603" s="173"/>
      <c r="U603" s="173"/>
      <c r="V603" s="173"/>
      <c r="W603" s="173"/>
      <c r="X603" s="173"/>
      <c r="Y603" s="173"/>
      <c r="Z603" s="173"/>
      <c r="AA603" s="173"/>
      <c r="AB603" s="173"/>
      <c r="AC603" s="173"/>
      <c r="AD603" s="173"/>
      <c r="AE603" s="173"/>
      <c r="AF603" s="173"/>
      <c r="AG603" s="173"/>
      <c r="AH603" s="173"/>
      <c r="AI603" s="173"/>
      <c r="AJ603" s="173"/>
      <c r="AK603" s="173"/>
      <c r="AL603" s="173"/>
      <c r="AM603" s="173"/>
      <c r="AN603" s="173"/>
      <c r="AO603" s="173"/>
      <c r="AP603" s="173"/>
      <c r="AQ603" s="173"/>
      <c r="AR603" s="173"/>
      <c r="AS603" s="173"/>
      <c r="AT603" s="173"/>
      <c r="AU603" s="173"/>
      <c r="AV603" s="173"/>
      <c r="AW603" s="173"/>
      <c r="AX603" s="173"/>
      <c r="AY603" s="173"/>
      <c r="AZ603" s="173"/>
      <c r="BA603" s="173"/>
      <c r="BB603" s="173"/>
      <c r="BC603" s="173"/>
      <c r="BD603" s="173"/>
      <c r="BE603" s="173"/>
      <c r="BF603" s="173"/>
      <c r="BG603" s="173"/>
      <c r="BH603" s="173"/>
      <c r="BI603" s="173"/>
      <c r="BJ603" s="173"/>
      <c r="BK603" s="173"/>
      <c r="BL603" s="173"/>
      <c r="BM603" s="173"/>
    </row>
    <row r="604" spans="1:65">
      <c r="A604" s="173"/>
      <c r="B604" s="173"/>
      <c r="C604" s="173"/>
      <c r="D604" s="173"/>
      <c r="E604" s="173"/>
      <c r="F604" s="173"/>
      <c r="G604" s="173"/>
      <c r="H604" s="173"/>
      <c r="I604" s="173"/>
      <c r="J604" s="173"/>
      <c r="K604" s="322"/>
      <c r="L604" s="173"/>
      <c r="M604" s="173"/>
      <c r="Q604" s="173"/>
      <c r="R604" s="173"/>
      <c r="S604" s="173"/>
      <c r="T604" s="173"/>
      <c r="U604" s="173"/>
      <c r="V604" s="173"/>
      <c r="W604" s="173"/>
      <c r="X604" s="173"/>
      <c r="Y604" s="173"/>
      <c r="Z604" s="173"/>
      <c r="AA604" s="173"/>
      <c r="AB604" s="173"/>
      <c r="AC604" s="173"/>
      <c r="AD604" s="173"/>
      <c r="AE604" s="173"/>
      <c r="AF604" s="173"/>
      <c r="AG604" s="173"/>
      <c r="AH604" s="173"/>
      <c r="AI604" s="173"/>
      <c r="AJ604" s="173"/>
      <c r="AK604" s="173"/>
      <c r="AL604" s="173"/>
      <c r="AM604" s="173"/>
      <c r="AN604" s="173"/>
      <c r="AO604" s="173"/>
      <c r="AP604" s="173"/>
      <c r="AQ604" s="173"/>
      <c r="AR604" s="173"/>
      <c r="AS604" s="173"/>
      <c r="AT604" s="173"/>
      <c r="AU604" s="173"/>
      <c r="AV604" s="173"/>
      <c r="AW604" s="173"/>
      <c r="AX604" s="173"/>
      <c r="AY604" s="173"/>
      <c r="AZ604" s="173"/>
      <c r="BA604" s="173"/>
      <c r="BB604" s="173"/>
      <c r="BC604" s="173"/>
      <c r="BD604" s="173"/>
      <c r="BE604" s="173"/>
      <c r="BF604" s="173"/>
      <c r="BG604" s="173"/>
      <c r="BH604" s="173"/>
      <c r="BI604" s="173"/>
      <c r="BJ604" s="173"/>
      <c r="BK604" s="173"/>
      <c r="BL604" s="173"/>
      <c r="BM604" s="173"/>
    </row>
    <row r="605" spans="1:65">
      <c r="A605" s="173"/>
      <c r="B605" s="173"/>
      <c r="C605" s="173"/>
      <c r="D605" s="173"/>
      <c r="E605" s="173"/>
      <c r="F605" s="173"/>
      <c r="G605" s="173"/>
      <c r="H605" s="173"/>
      <c r="I605" s="173"/>
      <c r="J605" s="173"/>
      <c r="K605" s="322"/>
      <c r="L605" s="173"/>
      <c r="M605" s="173"/>
      <c r="Q605" s="173"/>
      <c r="R605" s="173"/>
      <c r="S605" s="173"/>
      <c r="T605" s="173"/>
      <c r="U605" s="173"/>
      <c r="V605" s="173"/>
      <c r="W605" s="173"/>
      <c r="X605" s="173"/>
      <c r="Y605" s="173"/>
      <c r="Z605" s="173"/>
      <c r="AA605" s="173"/>
      <c r="AB605" s="173"/>
      <c r="AC605" s="173"/>
      <c r="AD605" s="173"/>
      <c r="AE605" s="173"/>
      <c r="AF605" s="173"/>
      <c r="AG605" s="173"/>
      <c r="AH605" s="173"/>
      <c r="AI605" s="173"/>
      <c r="AJ605" s="173"/>
      <c r="AK605" s="173"/>
      <c r="AL605" s="173"/>
      <c r="AM605" s="173"/>
      <c r="AN605" s="173"/>
      <c r="AO605" s="173"/>
      <c r="AP605" s="173"/>
      <c r="AQ605" s="173"/>
      <c r="AR605" s="173"/>
      <c r="AS605" s="173"/>
      <c r="AT605" s="173"/>
      <c r="AU605" s="173"/>
      <c r="AV605" s="173"/>
      <c r="AW605" s="173"/>
      <c r="AX605" s="173"/>
      <c r="AY605" s="173"/>
      <c r="AZ605" s="173"/>
      <c r="BA605" s="173"/>
      <c r="BB605" s="173"/>
      <c r="BC605" s="173"/>
      <c r="BD605" s="173"/>
      <c r="BE605" s="173"/>
      <c r="BF605" s="173"/>
      <c r="BG605" s="173"/>
      <c r="BH605" s="173"/>
      <c r="BI605" s="173"/>
      <c r="BJ605" s="173"/>
      <c r="BK605" s="173"/>
      <c r="BL605" s="173"/>
      <c r="BM605" s="173"/>
    </row>
    <row r="606" spans="1:65">
      <c r="A606" s="173"/>
      <c r="B606" s="173"/>
      <c r="C606" s="173"/>
      <c r="D606" s="173"/>
      <c r="E606" s="173"/>
      <c r="F606" s="173"/>
      <c r="G606" s="173"/>
      <c r="H606" s="173"/>
      <c r="I606" s="173"/>
      <c r="J606" s="173"/>
      <c r="K606" s="322"/>
      <c r="L606" s="173"/>
      <c r="M606" s="173"/>
      <c r="Q606" s="173"/>
      <c r="R606" s="173"/>
      <c r="S606" s="173"/>
      <c r="T606" s="173"/>
      <c r="U606" s="173"/>
      <c r="V606" s="173"/>
      <c r="W606" s="173"/>
      <c r="X606" s="173"/>
      <c r="Y606" s="173"/>
      <c r="Z606" s="173"/>
      <c r="AA606" s="173"/>
      <c r="AB606" s="173"/>
      <c r="AC606" s="173"/>
      <c r="AD606" s="173"/>
      <c r="AE606" s="173"/>
      <c r="AF606" s="173"/>
      <c r="AG606" s="173"/>
      <c r="AH606" s="173"/>
      <c r="AI606" s="173"/>
      <c r="AJ606" s="173"/>
      <c r="AK606" s="173"/>
      <c r="AL606" s="173"/>
      <c r="AM606" s="173"/>
      <c r="AN606" s="173"/>
      <c r="AO606" s="173"/>
      <c r="AP606" s="173"/>
      <c r="AQ606" s="173"/>
      <c r="AR606" s="173"/>
      <c r="AS606" s="173"/>
      <c r="AT606" s="173"/>
      <c r="AU606" s="173"/>
      <c r="AV606" s="173"/>
      <c r="AW606" s="173"/>
      <c r="AX606" s="173"/>
      <c r="AY606" s="173"/>
      <c r="AZ606" s="173"/>
      <c r="BA606" s="173"/>
      <c r="BB606" s="173"/>
      <c r="BC606" s="173"/>
      <c r="BD606" s="173"/>
      <c r="BE606" s="173"/>
      <c r="BF606" s="173"/>
      <c r="BG606" s="173"/>
      <c r="BH606" s="173"/>
      <c r="BI606" s="173"/>
      <c r="BJ606" s="173"/>
      <c r="BK606" s="173"/>
      <c r="BL606" s="173"/>
      <c r="BM606" s="173"/>
    </row>
    <row r="607" spans="1:65">
      <c r="A607" s="173"/>
      <c r="B607" s="173"/>
      <c r="C607" s="173"/>
      <c r="D607" s="173"/>
      <c r="E607" s="173"/>
      <c r="F607" s="173"/>
      <c r="G607" s="173"/>
      <c r="H607" s="173"/>
      <c r="I607" s="173"/>
      <c r="J607" s="173"/>
      <c r="K607" s="322"/>
      <c r="L607" s="173"/>
      <c r="M607" s="173"/>
      <c r="Q607" s="173"/>
      <c r="R607" s="173"/>
      <c r="S607" s="173"/>
      <c r="T607" s="173"/>
      <c r="U607" s="173"/>
      <c r="V607" s="173"/>
      <c r="W607" s="173"/>
      <c r="X607" s="173"/>
      <c r="Y607" s="173"/>
      <c r="Z607" s="173"/>
      <c r="AA607" s="173"/>
      <c r="AB607" s="173"/>
      <c r="AC607" s="173"/>
      <c r="AD607" s="173"/>
      <c r="AE607" s="173"/>
      <c r="AF607" s="173"/>
      <c r="AG607" s="173"/>
      <c r="AH607" s="173"/>
      <c r="AI607" s="173"/>
      <c r="AJ607" s="173"/>
      <c r="AK607" s="173"/>
      <c r="AL607" s="173"/>
      <c r="AM607" s="173"/>
      <c r="AN607" s="173"/>
      <c r="AO607" s="173"/>
      <c r="AP607" s="173"/>
      <c r="AQ607" s="173"/>
      <c r="AR607" s="173"/>
      <c r="AS607" s="173"/>
      <c r="AT607" s="173"/>
      <c r="AU607" s="173"/>
      <c r="AV607" s="173"/>
      <c r="AW607" s="173"/>
      <c r="AX607" s="173"/>
      <c r="AY607" s="173"/>
      <c r="AZ607" s="173"/>
      <c r="BA607" s="173"/>
      <c r="BB607" s="173"/>
      <c r="BC607" s="173"/>
      <c r="BD607" s="173"/>
      <c r="BE607" s="173"/>
      <c r="BF607" s="173"/>
      <c r="BG607" s="173"/>
      <c r="BH607" s="173"/>
      <c r="BI607" s="173"/>
      <c r="BJ607" s="173"/>
      <c r="BK607" s="173"/>
      <c r="BL607" s="173"/>
      <c r="BM607" s="173"/>
    </row>
    <row r="608" spans="1:65">
      <c r="A608" s="173"/>
      <c r="B608" s="173"/>
      <c r="C608" s="173"/>
      <c r="D608" s="173"/>
      <c r="E608" s="173"/>
      <c r="F608" s="173"/>
      <c r="G608" s="173"/>
      <c r="H608" s="173"/>
      <c r="I608" s="173"/>
      <c r="J608" s="173"/>
      <c r="K608" s="322"/>
      <c r="L608" s="173"/>
      <c r="M608" s="173"/>
      <c r="Q608" s="173"/>
      <c r="R608" s="173"/>
      <c r="S608" s="173"/>
      <c r="T608" s="173"/>
      <c r="U608" s="173"/>
      <c r="V608" s="173"/>
      <c r="W608" s="173"/>
      <c r="X608" s="173"/>
      <c r="Y608" s="173"/>
      <c r="Z608" s="173"/>
      <c r="AA608" s="173"/>
      <c r="AB608" s="173"/>
      <c r="AC608" s="173"/>
      <c r="AD608" s="173"/>
      <c r="AE608" s="173"/>
      <c r="AF608" s="173"/>
      <c r="AG608" s="173"/>
      <c r="AH608" s="173"/>
      <c r="AI608" s="173"/>
      <c r="AJ608" s="173"/>
      <c r="AK608" s="173"/>
      <c r="AL608" s="173"/>
      <c r="AM608" s="173"/>
      <c r="AN608" s="173"/>
      <c r="AO608" s="173"/>
      <c r="AP608" s="173"/>
      <c r="AQ608" s="173"/>
      <c r="AR608" s="173"/>
      <c r="AS608" s="173"/>
      <c r="AT608" s="173"/>
      <c r="AU608" s="173"/>
      <c r="AV608" s="173"/>
      <c r="AW608" s="173"/>
      <c r="AX608" s="173"/>
      <c r="AY608" s="173"/>
      <c r="AZ608" s="173"/>
      <c r="BA608" s="173"/>
      <c r="BB608" s="173"/>
      <c r="BC608" s="173"/>
      <c r="BD608" s="173"/>
      <c r="BE608" s="173"/>
      <c r="BF608" s="173"/>
      <c r="BG608" s="173"/>
      <c r="BH608" s="173"/>
      <c r="BI608" s="173"/>
      <c r="BJ608" s="173"/>
      <c r="BK608" s="173"/>
      <c r="BL608" s="173"/>
      <c r="BM608" s="173"/>
    </row>
    <row r="609" spans="1:65">
      <c r="A609" s="173"/>
      <c r="B609" s="173"/>
      <c r="C609" s="173"/>
      <c r="D609" s="173"/>
      <c r="E609" s="173"/>
      <c r="F609" s="173"/>
      <c r="G609" s="173"/>
      <c r="H609" s="173"/>
      <c r="I609" s="173"/>
      <c r="J609" s="173"/>
      <c r="K609" s="322"/>
      <c r="L609" s="173"/>
      <c r="M609" s="173"/>
      <c r="Q609" s="173"/>
      <c r="R609" s="173"/>
      <c r="S609" s="173"/>
      <c r="T609" s="173"/>
      <c r="U609" s="173"/>
      <c r="V609" s="173"/>
      <c r="W609" s="173"/>
      <c r="X609" s="173"/>
      <c r="Y609" s="173"/>
      <c r="Z609" s="173"/>
      <c r="AA609" s="173"/>
      <c r="AB609" s="173"/>
      <c r="AC609" s="173"/>
      <c r="AD609" s="173"/>
      <c r="AE609" s="173"/>
      <c r="AF609" s="173"/>
      <c r="AG609" s="173"/>
      <c r="AH609" s="173"/>
      <c r="AI609" s="173"/>
      <c r="AJ609" s="173"/>
      <c r="AK609" s="173"/>
      <c r="AL609" s="173"/>
      <c r="AM609" s="173"/>
      <c r="AN609" s="173"/>
      <c r="AO609" s="173"/>
      <c r="AP609" s="173"/>
      <c r="AQ609" s="173"/>
      <c r="AR609" s="173"/>
      <c r="AS609" s="173"/>
      <c r="AT609" s="173"/>
      <c r="AU609" s="173"/>
      <c r="AV609" s="173"/>
      <c r="AW609" s="173"/>
      <c r="AX609" s="173"/>
      <c r="AY609" s="173"/>
      <c r="AZ609" s="173"/>
      <c r="BA609" s="173"/>
      <c r="BB609" s="173"/>
      <c r="BC609" s="173"/>
      <c r="BD609" s="173"/>
      <c r="BE609" s="173"/>
      <c r="BF609" s="173"/>
      <c r="BG609" s="173"/>
      <c r="BH609" s="173"/>
      <c r="BI609" s="173"/>
      <c r="BJ609" s="173"/>
      <c r="BK609" s="173"/>
      <c r="BL609" s="173"/>
      <c r="BM609" s="173"/>
    </row>
    <row r="610" spans="1:65">
      <c r="A610" s="173"/>
      <c r="B610" s="173"/>
      <c r="C610" s="173"/>
      <c r="D610" s="173"/>
      <c r="E610" s="173"/>
      <c r="F610" s="173"/>
      <c r="G610" s="173"/>
      <c r="H610" s="173"/>
      <c r="I610" s="173"/>
      <c r="J610" s="173"/>
      <c r="K610" s="322"/>
      <c r="L610" s="173"/>
      <c r="M610" s="173"/>
      <c r="Q610" s="173"/>
      <c r="R610" s="173"/>
      <c r="S610" s="173"/>
      <c r="T610" s="173"/>
      <c r="U610" s="173"/>
      <c r="V610" s="173"/>
      <c r="W610" s="173"/>
      <c r="X610" s="173"/>
      <c r="Y610" s="173"/>
      <c r="Z610" s="173"/>
      <c r="AA610" s="173"/>
      <c r="AB610" s="173"/>
      <c r="AC610" s="173"/>
      <c r="AD610" s="173"/>
      <c r="AE610" s="173"/>
      <c r="AF610" s="173"/>
      <c r="AG610" s="173"/>
      <c r="AH610" s="173"/>
      <c r="AI610" s="173"/>
      <c r="AJ610" s="173"/>
      <c r="AK610" s="173"/>
      <c r="AL610" s="173"/>
      <c r="AM610" s="173"/>
      <c r="AN610" s="173"/>
      <c r="AO610" s="173"/>
      <c r="AP610" s="173"/>
      <c r="AQ610" s="173"/>
      <c r="AR610" s="173"/>
      <c r="AS610" s="173"/>
      <c r="AT610" s="173"/>
      <c r="AU610" s="173"/>
      <c r="AV610" s="173"/>
      <c r="AW610" s="173"/>
      <c r="AX610" s="173"/>
      <c r="AY610" s="173"/>
      <c r="AZ610" s="173"/>
      <c r="BA610" s="173"/>
      <c r="BB610" s="173"/>
      <c r="BC610" s="173"/>
      <c r="BD610" s="173"/>
      <c r="BE610" s="173"/>
      <c r="BF610" s="173"/>
      <c r="BG610" s="173"/>
      <c r="BH610" s="173"/>
      <c r="BI610" s="173"/>
      <c r="BJ610" s="173"/>
      <c r="BK610" s="173"/>
      <c r="BL610" s="173"/>
      <c r="BM610" s="173"/>
    </row>
    <row r="611" spans="1:65">
      <c r="A611" s="173"/>
      <c r="B611" s="173"/>
      <c r="C611" s="173"/>
      <c r="D611" s="173"/>
      <c r="E611" s="173"/>
      <c r="F611" s="173"/>
      <c r="G611" s="173"/>
      <c r="H611" s="173"/>
      <c r="I611" s="173"/>
      <c r="J611" s="173"/>
      <c r="K611" s="322"/>
      <c r="L611" s="173"/>
      <c r="M611" s="173"/>
      <c r="Q611" s="173"/>
      <c r="R611" s="173"/>
      <c r="S611" s="173"/>
      <c r="T611" s="173"/>
      <c r="U611" s="173"/>
      <c r="V611" s="173"/>
      <c r="W611" s="173"/>
      <c r="X611" s="173"/>
      <c r="Y611" s="173"/>
      <c r="Z611" s="173"/>
      <c r="AA611" s="173"/>
      <c r="AB611" s="173"/>
      <c r="AC611" s="173"/>
      <c r="AD611" s="173"/>
      <c r="AE611" s="173"/>
      <c r="AF611" s="173"/>
      <c r="AG611" s="173"/>
      <c r="AH611" s="173"/>
      <c r="AI611" s="173"/>
      <c r="AJ611" s="173"/>
      <c r="AK611" s="173"/>
      <c r="AL611" s="173"/>
      <c r="AM611" s="173"/>
      <c r="AN611" s="173"/>
      <c r="AO611" s="173"/>
      <c r="AP611" s="173"/>
      <c r="AQ611" s="173"/>
      <c r="AR611" s="173"/>
      <c r="AS611" s="173"/>
      <c r="AT611" s="173"/>
      <c r="AU611" s="173"/>
      <c r="AV611" s="173"/>
      <c r="AW611" s="173"/>
      <c r="AX611" s="173"/>
      <c r="AY611" s="173"/>
      <c r="AZ611" s="173"/>
      <c r="BA611" s="173"/>
      <c r="BB611" s="173"/>
      <c r="BC611" s="173"/>
      <c r="BD611" s="173"/>
      <c r="BE611" s="173"/>
      <c r="BF611" s="173"/>
      <c r="BG611" s="173"/>
      <c r="BH611" s="173"/>
      <c r="BI611" s="173"/>
      <c r="BJ611" s="173"/>
      <c r="BK611" s="173"/>
      <c r="BL611" s="173"/>
      <c r="BM611" s="173"/>
    </row>
    <row r="612" spans="1:65">
      <c r="A612" s="173"/>
      <c r="B612" s="173"/>
      <c r="C612" s="173"/>
      <c r="D612" s="173"/>
      <c r="E612" s="173"/>
      <c r="F612" s="173"/>
      <c r="G612" s="173"/>
      <c r="H612" s="173"/>
      <c r="I612" s="173"/>
      <c r="J612" s="173"/>
      <c r="K612" s="322"/>
      <c r="L612" s="173"/>
      <c r="M612" s="173"/>
      <c r="Q612" s="173"/>
      <c r="R612" s="173"/>
      <c r="S612" s="173"/>
      <c r="T612" s="173"/>
      <c r="U612" s="173"/>
      <c r="V612" s="173"/>
      <c r="W612" s="173"/>
      <c r="X612" s="173"/>
      <c r="Y612" s="173"/>
      <c r="Z612" s="173"/>
      <c r="AA612" s="173"/>
      <c r="AB612" s="173"/>
      <c r="AC612" s="173"/>
      <c r="AD612" s="173"/>
      <c r="AE612" s="173"/>
      <c r="AF612" s="173"/>
      <c r="AG612" s="173"/>
      <c r="AH612" s="173"/>
      <c r="AI612" s="173"/>
      <c r="AJ612" s="173"/>
      <c r="AK612" s="173"/>
      <c r="AL612" s="173"/>
      <c r="AM612" s="173"/>
      <c r="AN612" s="173"/>
      <c r="AO612" s="173"/>
      <c r="AP612" s="173"/>
      <c r="AQ612" s="173"/>
      <c r="AR612" s="173"/>
      <c r="AS612" s="173"/>
      <c r="AT612" s="173"/>
      <c r="AU612" s="173"/>
      <c r="AV612" s="173"/>
      <c r="AW612" s="173"/>
      <c r="AX612" s="173"/>
      <c r="AY612" s="173"/>
      <c r="AZ612" s="173"/>
      <c r="BA612" s="173"/>
      <c r="BB612" s="173"/>
      <c r="BC612" s="173"/>
      <c r="BD612" s="173"/>
      <c r="BE612" s="173"/>
      <c r="BF612" s="173"/>
      <c r="BG612" s="173"/>
      <c r="BH612" s="173"/>
      <c r="BI612" s="173"/>
      <c r="BJ612" s="173"/>
      <c r="BK612" s="173"/>
      <c r="BL612" s="173"/>
      <c r="BM612" s="173"/>
    </row>
    <row r="613" spans="1:65">
      <c r="A613" s="173"/>
      <c r="B613" s="173"/>
      <c r="C613" s="173"/>
      <c r="D613" s="173"/>
      <c r="E613" s="173"/>
      <c r="F613" s="173"/>
      <c r="G613" s="173"/>
      <c r="H613" s="173"/>
      <c r="I613" s="173"/>
      <c r="J613" s="173"/>
      <c r="K613" s="322"/>
      <c r="L613" s="173"/>
      <c r="M613" s="173"/>
      <c r="Q613" s="173"/>
      <c r="R613" s="173"/>
      <c r="S613" s="173"/>
      <c r="T613" s="173"/>
      <c r="U613" s="173"/>
      <c r="V613" s="173"/>
      <c r="W613" s="173"/>
      <c r="X613" s="173"/>
      <c r="Y613" s="173"/>
      <c r="Z613" s="173"/>
      <c r="AA613" s="173"/>
      <c r="AB613" s="173"/>
      <c r="AC613" s="173"/>
      <c r="AD613" s="173"/>
      <c r="AE613" s="173"/>
      <c r="AF613" s="173"/>
      <c r="AG613" s="173"/>
      <c r="AH613" s="173"/>
      <c r="AI613" s="173"/>
      <c r="AJ613" s="173"/>
      <c r="AK613" s="173"/>
      <c r="AL613" s="173"/>
      <c r="AM613" s="173"/>
      <c r="AN613" s="173"/>
      <c r="AO613" s="173"/>
      <c r="AP613" s="173"/>
      <c r="AQ613" s="173"/>
      <c r="AR613" s="173"/>
      <c r="AS613" s="173"/>
      <c r="AT613" s="173"/>
      <c r="AU613" s="173"/>
      <c r="AV613" s="173"/>
      <c r="AW613" s="173"/>
      <c r="AX613" s="173"/>
      <c r="AY613" s="173"/>
      <c r="AZ613" s="173"/>
      <c r="BA613" s="173"/>
      <c r="BB613" s="173"/>
      <c r="BC613" s="173"/>
      <c r="BD613" s="173"/>
      <c r="BE613" s="173"/>
      <c r="BF613" s="173"/>
      <c r="BG613" s="173"/>
      <c r="BH613" s="173"/>
      <c r="BI613" s="173"/>
      <c r="BJ613" s="173"/>
      <c r="BK613" s="173"/>
      <c r="BL613" s="173"/>
      <c r="BM613" s="173"/>
    </row>
    <row r="614" spans="1:65">
      <c r="A614" s="173"/>
      <c r="B614" s="173"/>
      <c r="C614" s="173"/>
      <c r="D614" s="173"/>
      <c r="E614" s="173"/>
      <c r="F614" s="173"/>
      <c r="G614" s="173"/>
      <c r="H614" s="173"/>
      <c r="I614" s="173"/>
      <c r="J614" s="173"/>
      <c r="K614" s="322"/>
      <c r="L614" s="173"/>
      <c r="M614" s="173"/>
      <c r="Q614" s="173"/>
      <c r="R614" s="173"/>
      <c r="S614" s="173"/>
      <c r="T614" s="173"/>
      <c r="U614" s="173"/>
      <c r="V614" s="173"/>
      <c r="W614" s="173"/>
      <c r="X614" s="173"/>
      <c r="Y614" s="173"/>
      <c r="Z614" s="173"/>
      <c r="AA614" s="173"/>
      <c r="AB614" s="173"/>
      <c r="AC614" s="173"/>
      <c r="AD614" s="173"/>
      <c r="AE614" s="173"/>
      <c r="AF614" s="173"/>
      <c r="AG614" s="173"/>
      <c r="AH614" s="173"/>
      <c r="AI614" s="173"/>
      <c r="AJ614" s="173"/>
      <c r="AK614" s="173"/>
      <c r="AL614" s="173"/>
      <c r="AM614" s="173"/>
      <c r="AN614" s="173"/>
      <c r="AO614" s="173"/>
      <c r="AP614" s="173"/>
      <c r="AQ614" s="173"/>
      <c r="AR614" s="173"/>
      <c r="AS614" s="173"/>
      <c r="AT614" s="173"/>
      <c r="AU614" s="173"/>
      <c r="AV614" s="173"/>
      <c r="AW614" s="173"/>
      <c r="AX614" s="173"/>
      <c r="AY614" s="173"/>
      <c r="AZ614" s="173"/>
      <c r="BA614" s="173"/>
      <c r="BB614" s="173"/>
      <c r="BC614" s="173"/>
      <c r="BD614" s="173"/>
      <c r="BE614" s="173"/>
      <c r="BF614" s="173"/>
      <c r="BG614" s="173"/>
      <c r="BH614" s="173"/>
      <c r="BI614" s="173"/>
      <c r="BJ614" s="173"/>
      <c r="BK614" s="173"/>
      <c r="BL614" s="173"/>
      <c r="BM614" s="173"/>
    </row>
    <row r="615" spans="1:65">
      <c r="A615" s="173"/>
      <c r="B615" s="173"/>
      <c r="C615" s="173"/>
      <c r="D615" s="173"/>
      <c r="E615" s="173"/>
      <c r="F615" s="173"/>
      <c r="G615" s="173"/>
      <c r="H615" s="173"/>
      <c r="I615" s="173"/>
      <c r="J615" s="173"/>
      <c r="K615" s="322"/>
      <c r="L615" s="173"/>
      <c r="M615" s="173"/>
      <c r="Q615" s="173"/>
      <c r="R615" s="173"/>
      <c r="S615" s="173"/>
      <c r="T615" s="173"/>
      <c r="U615" s="173"/>
      <c r="V615" s="173"/>
      <c r="W615" s="173"/>
      <c r="X615" s="173"/>
      <c r="Y615" s="173"/>
      <c r="Z615" s="173"/>
      <c r="AA615" s="173"/>
      <c r="AB615" s="173"/>
      <c r="AC615" s="173"/>
      <c r="AD615" s="173"/>
      <c r="AE615" s="173"/>
      <c r="AF615" s="173"/>
      <c r="AG615" s="173"/>
      <c r="AH615" s="173"/>
      <c r="AI615" s="173"/>
      <c r="AJ615" s="173"/>
      <c r="AK615" s="173"/>
      <c r="AL615" s="173"/>
      <c r="AM615" s="173"/>
      <c r="AN615" s="173"/>
      <c r="AO615" s="173"/>
      <c r="AP615" s="173"/>
      <c r="AQ615" s="173"/>
      <c r="AR615" s="173"/>
      <c r="AS615" s="173"/>
      <c r="AT615" s="173"/>
      <c r="AU615" s="173"/>
      <c r="AV615" s="173"/>
      <c r="AW615" s="173"/>
      <c r="AX615" s="173"/>
      <c r="AY615" s="173"/>
      <c r="AZ615" s="173"/>
      <c r="BA615" s="173"/>
      <c r="BB615" s="173"/>
      <c r="BC615" s="173"/>
      <c r="BD615" s="173"/>
      <c r="BE615" s="173"/>
      <c r="BF615" s="173"/>
      <c r="BG615" s="173"/>
      <c r="BH615" s="173"/>
      <c r="BI615" s="173"/>
      <c r="BJ615" s="173"/>
      <c r="BK615" s="173"/>
      <c r="BL615" s="173"/>
      <c r="BM615" s="173"/>
    </row>
    <row r="616" spans="1:65">
      <c r="A616" s="173"/>
      <c r="B616" s="173"/>
      <c r="C616" s="173"/>
      <c r="D616" s="173"/>
      <c r="E616" s="173"/>
      <c r="F616" s="173"/>
      <c r="G616" s="173"/>
      <c r="H616" s="173"/>
      <c r="I616" s="173"/>
      <c r="J616" s="173"/>
      <c r="K616" s="322"/>
      <c r="L616" s="173"/>
      <c r="M616" s="173"/>
      <c r="Q616" s="173"/>
      <c r="R616" s="173"/>
      <c r="S616" s="173"/>
      <c r="T616" s="173"/>
      <c r="U616" s="173"/>
      <c r="V616" s="173"/>
      <c r="W616" s="173"/>
      <c r="X616" s="173"/>
      <c r="Y616" s="173"/>
      <c r="Z616" s="173"/>
      <c r="AA616" s="173"/>
      <c r="AB616" s="173"/>
      <c r="AC616" s="173"/>
      <c r="AD616" s="173"/>
      <c r="AE616" s="173"/>
      <c r="AF616" s="173"/>
      <c r="AG616" s="173"/>
      <c r="AH616" s="173"/>
      <c r="AI616" s="173"/>
      <c r="AJ616" s="173"/>
      <c r="AK616" s="173"/>
      <c r="AL616" s="173"/>
      <c r="AM616" s="173"/>
      <c r="AN616" s="173"/>
      <c r="AO616" s="173"/>
      <c r="AP616" s="173"/>
      <c r="AQ616" s="173"/>
      <c r="AR616" s="173"/>
      <c r="AS616" s="173"/>
      <c r="AT616" s="173"/>
      <c r="AU616" s="173"/>
      <c r="AV616" s="173"/>
      <c r="AW616" s="173"/>
      <c r="AX616" s="173"/>
      <c r="AY616" s="173"/>
      <c r="AZ616" s="173"/>
      <c r="BA616" s="173"/>
      <c r="BB616" s="173"/>
      <c r="BC616" s="173"/>
      <c r="BD616" s="173"/>
      <c r="BE616" s="173"/>
      <c r="BF616" s="173"/>
      <c r="BG616" s="173"/>
      <c r="BH616" s="173"/>
      <c r="BI616" s="173"/>
      <c r="BJ616" s="173"/>
      <c r="BK616" s="173"/>
      <c r="BL616" s="173"/>
      <c r="BM616" s="173"/>
    </row>
    <row r="617" spans="1:65">
      <c r="A617" s="173"/>
      <c r="B617" s="173"/>
      <c r="C617" s="173"/>
      <c r="D617" s="173"/>
      <c r="E617" s="173"/>
      <c r="F617" s="173"/>
      <c r="G617" s="173"/>
      <c r="H617" s="173"/>
      <c r="I617" s="173"/>
      <c r="J617" s="173"/>
      <c r="K617" s="322"/>
      <c r="L617" s="173"/>
      <c r="M617" s="173"/>
      <c r="Q617" s="173"/>
      <c r="R617" s="173"/>
      <c r="S617" s="173"/>
      <c r="T617" s="173"/>
      <c r="U617" s="173"/>
      <c r="V617" s="173"/>
      <c r="W617" s="173"/>
      <c r="X617" s="173"/>
      <c r="Y617" s="173"/>
      <c r="Z617" s="173"/>
      <c r="AA617" s="173"/>
      <c r="AB617" s="173"/>
      <c r="AC617" s="173"/>
      <c r="AD617" s="173"/>
      <c r="AE617" s="173"/>
      <c r="AF617" s="173"/>
      <c r="AG617" s="173"/>
      <c r="AH617" s="173"/>
      <c r="AI617" s="173"/>
      <c r="AJ617" s="173"/>
      <c r="AK617" s="173"/>
      <c r="AL617" s="173"/>
      <c r="AM617" s="173"/>
      <c r="AN617" s="173"/>
      <c r="AO617" s="173"/>
      <c r="AP617" s="173"/>
      <c r="AQ617" s="173"/>
      <c r="AR617" s="173"/>
      <c r="AS617" s="173"/>
      <c r="AT617" s="173"/>
      <c r="AU617" s="173"/>
      <c r="AV617" s="173"/>
      <c r="AW617" s="173"/>
      <c r="AX617" s="173"/>
      <c r="AY617" s="173"/>
      <c r="AZ617" s="173"/>
      <c r="BA617" s="173"/>
      <c r="BB617" s="173"/>
      <c r="BC617" s="173"/>
      <c r="BD617" s="173"/>
      <c r="BE617" s="173"/>
      <c r="BF617" s="173"/>
      <c r="BG617" s="173"/>
      <c r="BH617" s="173"/>
      <c r="BI617" s="173"/>
      <c r="BJ617" s="173"/>
      <c r="BK617" s="173"/>
      <c r="BL617" s="173"/>
      <c r="BM617" s="173"/>
    </row>
    <row r="618" spans="1:65">
      <c r="A618" s="173"/>
      <c r="B618" s="173"/>
      <c r="C618" s="173"/>
      <c r="D618" s="173"/>
      <c r="E618" s="173"/>
      <c r="F618" s="173"/>
      <c r="G618" s="173"/>
      <c r="H618" s="173"/>
      <c r="I618" s="173"/>
      <c r="J618" s="173"/>
      <c r="K618" s="322"/>
      <c r="L618" s="173"/>
      <c r="M618" s="173"/>
      <c r="Q618" s="173"/>
      <c r="R618" s="173"/>
      <c r="S618" s="173"/>
      <c r="T618" s="173"/>
      <c r="U618" s="173"/>
      <c r="V618" s="173"/>
      <c r="W618" s="173"/>
      <c r="X618" s="173"/>
      <c r="Y618" s="173"/>
      <c r="Z618" s="173"/>
      <c r="AA618" s="173"/>
      <c r="AB618" s="173"/>
      <c r="AC618" s="173"/>
      <c r="AD618" s="173"/>
      <c r="AE618" s="173"/>
      <c r="AF618" s="173"/>
      <c r="AG618" s="173"/>
      <c r="AH618" s="173"/>
      <c r="AI618" s="173"/>
      <c r="AJ618" s="173"/>
      <c r="AK618" s="173"/>
      <c r="AL618" s="173"/>
      <c r="AM618" s="173"/>
      <c r="AN618" s="173"/>
      <c r="AO618" s="173"/>
      <c r="AP618" s="173"/>
      <c r="AQ618" s="173"/>
      <c r="AR618" s="173"/>
      <c r="AS618" s="173"/>
      <c r="AT618" s="173"/>
      <c r="AU618" s="173"/>
      <c r="AV618" s="173"/>
      <c r="AW618" s="173"/>
      <c r="AX618" s="173"/>
      <c r="AY618" s="173"/>
      <c r="AZ618" s="173"/>
      <c r="BA618" s="173"/>
      <c r="BB618" s="173"/>
      <c r="BC618" s="173"/>
      <c r="BD618" s="173"/>
      <c r="BE618" s="173"/>
      <c r="BF618" s="173"/>
      <c r="BG618" s="173"/>
      <c r="BH618" s="173"/>
      <c r="BI618" s="173"/>
      <c r="BJ618" s="173"/>
      <c r="BK618" s="173"/>
      <c r="BL618" s="173"/>
      <c r="BM618" s="173"/>
    </row>
    <row r="619" spans="1:65">
      <c r="A619" s="173"/>
      <c r="B619" s="173"/>
      <c r="C619" s="173"/>
      <c r="D619" s="173"/>
      <c r="E619" s="173"/>
      <c r="F619" s="173"/>
      <c r="G619" s="173"/>
      <c r="H619" s="173"/>
      <c r="I619" s="173"/>
      <c r="J619" s="173"/>
      <c r="K619" s="322"/>
      <c r="L619" s="173"/>
      <c r="M619" s="173"/>
      <c r="Q619" s="173"/>
      <c r="R619" s="173"/>
      <c r="S619" s="173"/>
      <c r="T619" s="173"/>
      <c r="U619" s="173"/>
      <c r="V619" s="173"/>
      <c r="W619" s="173"/>
      <c r="X619" s="173"/>
      <c r="Y619" s="173"/>
      <c r="Z619" s="173"/>
      <c r="AA619" s="173"/>
      <c r="AB619" s="173"/>
      <c r="AC619" s="173"/>
      <c r="AD619" s="173"/>
      <c r="AE619" s="173"/>
      <c r="AF619" s="173"/>
      <c r="AG619" s="173"/>
      <c r="AH619" s="173"/>
      <c r="AI619" s="173"/>
      <c r="AJ619" s="173"/>
      <c r="AK619" s="173"/>
      <c r="AL619" s="173"/>
      <c r="AM619" s="173"/>
      <c r="AN619" s="173"/>
      <c r="AO619" s="173"/>
      <c r="AP619" s="173"/>
      <c r="AQ619" s="173"/>
      <c r="AR619" s="173"/>
      <c r="AS619" s="173"/>
      <c r="AT619" s="173"/>
      <c r="AU619" s="173"/>
      <c r="AV619" s="173"/>
      <c r="AW619" s="173"/>
      <c r="AX619" s="173"/>
      <c r="AY619" s="173"/>
      <c r="AZ619" s="173"/>
      <c r="BA619" s="173"/>
      <c r="BB619" s="173"/>
      <c r="BC619" s="173"/>
      <c r="BD619" s="173"/>
      <c r="BE619" s="173"/>
      <c r="BF619" s="173"/>
      <c r="BG619" s="173"/>
      <c r="BH619" s="173"/>
      <c r="BI619" s="173"/>
      <c r="BJ619" s="173"/>
      <c r="BK619" s="173"/>
      <c r="BL619" s="173"/>
      <c r="BM619" s="173"/>
    </row>
    <row r="620" spans="1:65">
      <c r="A620" s="173"/>
      <c r="B620" s="173"/>
      <c r="C620" s="173"/>
      <c r="D620" s="173"/>
      <c r="E620" s="173"/>
      <c r="F620" s="173"/>
      <c r="G620" s="173"/>
      <c r="H620" s="173"/>
      <c r="I620" s="173"/>
      <c r="J620" s="173"/>
      <c r="K620" s="322"/>
      <c r="L620" s="173"/>
      <c r="M620" s="173"/>
      <c r="Q620" s="173"/>
      <c r="R620" s="173"/>
      <c r="S620" s="173"/>
      <c r="T620" s="173"/>
      <c r="U620" s="173"/>
      <c r="V620" s="173"/>
      <c r="W620" s="173"/>
      <c r="X620" s="173"/>
      <c r="Y620" s="173"/>
      <c r="Z620" s="173"/>
      <c r="AA620" s="173"/>
      <c r="AB620" s="173"/>
      <c r="AC620" s="173"/>
      <c r="AD620" s="173"/>
      <c r="AE620" s="173"/>
      <c r="AF620" s="173"/>
      <c r="AG620" s="173"/>
      <c r="AH620" s="173"/>
      <c r="AI620" s="173"/>
      <c r="AJ620" s="173"/>
      <c r="AK620" s="173"/>
      <c r="AL620" s="173"/>
      <c r="AM620" s="173"/>
      <c r="AN620" s="173"/>
      <c r="AO620" s="173"/>
      <c r="AP620" s="173"/>
      <c r="AQ620" s="173"/>
      <c r="AR620" s="173"/>
      <c r="AS620" s="173"/>
      <c r="AT620" s="173"/>
      <c r="AU620" s="173"/>
      <c r="AV620" s="173"/>
      <c r="AW620" s="173"/>
      <c r="AX620" s="173"/>
      <c r="AY620" s="173"/>
      <c r="AZ620" s="173"/>
      <c r="BA620" s="173"/>
      <c r="BB620" s="173"/>
      <c r="BC620" s="173"/>
      <c r="BD620" s="173"/>
      <c r="BE620" s="173"/>
      <c r="BF620" s="173"/>
      <c r="BG620" s="173"/>
      <c r="BH620" s="173"/>
      <c r="BI620" s="173"/>
      <c r="BJ620" s="173"/>
      <c r="BK620" s="173"/>
      <c r="BL620" s="173"/>
      <c r="BM620" s="173"/>
    </row>
    <row r="621" spans="1:65">
      <c r="A621" s="173"/>
      <c r="B621" s="173"/>
      <c r="C621" s="173"/>
      <c r="D621" s="173"/>
      <c r="E621" s="173"/>
      <c r="F621" s="173"/>
      <c r="G621" s="173"/>
      <c r="H621" s="173"/>
      <c r="I621" s="173"/>
      <c r="J621" s="173"/>
      <c r="K621" s="322"/>
      <c r="L621" s="173"/>
      <c r="M621" s="173"/>
      <c r="Q621" s="173"/>
      <c r="R621" s="173"/>
      <c r="S621" s="173"/>
      <c r="T621" s="173"/>
      <c r="U621" s="173"/>
      <c r="V621" s="173"/>
      <c r="W621" s="173"/>
      <c r="X621" s="173"/>
      <c r="Y621" s="173"/>
      <c r="Z621" s="173"/>
      <c r="AA621" s="173"/>
      <c r="AB621" s="173"/>
      <c r="AC621" s="173"/>
      <c r="AD621" s="173"/>
      <c r="AE621" s="173"/>
      <c r="AF621" s="173"/>
      <c r="AG621" s="173"/>
      <c r="AH621" s="173"/>
      <c r="AI621" s="173"/>
      <c r="AJ621" s="173"/>
      <c r="AK621" s="173"/>
      <c r="AL621" s="173"/>
      <c r="AM621" s="173"/>
      <c r="AN621" s="173"/>
      <c r="AO621" s="173"/>
      <c r="AP621" s="173"/>
      <c r="AQ621" s="173"/>
      <c r="AR621" s="173"/>
      <c r="AS621" s="173"/>
      <c r="AT621" s="173"/>
      <c r="AU621" s="173"/>
      <c r="AV621" s="173"/>
      <c r="AW621" s="173"/>
      <c r="AX621" s="173"/>
      <c r="AY621" s="173"/>
      <c r="AZ621" s="173"/>
      <c r="BA621" s="173"/>
      <c r="BB621" s="173"/>
      <c r="BC621" s="173"/>
      <c r="BD621" s="173"/>
      <c r="BE621" s="173"/>
      <c r="BF621" s="173"/>
      <c r="BG621" s="173"/>
      <c r="BH621" s="173"/>
      <c r="BI621" s="173"/>
      <c r="BJ621" s="173"/>
      <c r="BK621" s="173"/>
      <c r="BL621" s="173"/>
      <c r="BM621" s="173"/>
    </row>
    <row r="622" spans="1:65">
      <c r="A622" s="173"/>
      <c r="B622" s="173"/>
      <c r="C622" s="173"/>
      <c r="D622" s="173"/>
      <c r="E622" s="173"/>
      <c r="F622" s="173"/>
      <c r="G622" s="173"/>
      <c r="H622" s="173"/>
      <c r="I622" s="173"/>
      <c r="J622" s="173"/>
      <c r="K622" s="322"/>
      <c r="L622" s="173"/>
      <c r="M622" s="173"/>
      <c r="Q622" s="173"/>
      <c r="R622" s="173"/>
      <c r="S622" s="173"/>
      <c r="T622" s="173"/>
      <c r="U622" s="173"/>
      <c r="V622" s="173"/>
      <c r="W622" s="173"/>
      <c r="X622" s="173"/>
      <c r="Y622" s="173"/>
      <c r="Z622" s="173"/>
      <c r="AA622" s="173"/>
      <c r="AB622" s="173"/>
      <c r="AC622" s="173"/>
      <c r="AD622" s="173"/>
      <c r="AE622" s="173"/>
      <c r="AF622" s="173"/>
      <c r="AG622" s="173"/>
      <c r="AH622" s="173"/>
      <c r="AI622" s="173"/>
      <c r="AJ622" s="173"/>
      <c r="AK622" s="173"/>
      <c r="AL622" s="173"/>
      <c r="AM622" s="173"/>
      <c r="AN622" s="173"/>
      <c r="AO622" s="173"/>
      <c r="AP622" s="173"/>
      <c r="AQ622" s="173"/>
      <c r="AR622" s="173"/>
      <c r="AS622" s="173"/>
      <c r="AT622" s="173"/>
      <c r="AU622" s="173"/>
      <c r="AV622" s="173"/>
      <c r="AW622" s="173"/>
      <c r="AX622" s="173"/>
      <c r="AY622" s="173"/>
      <c r="AZ622" s="173"/>
      <c r="BA622" s="173"/>
      <c r="BB622" s="173"/>
      <c r="BC622" s="173"/>
      <c r="BD622" s="173"/>
      <c r="BE622" s="173"/>
      <c r="BF622" s="173"/>
      <c r="BG622" s="173"/>
      <c r="BH622" s="173"/>
      <c r="BI622" s="173"/>
      <c r="BJ622" s="173"/>
      <c r="BK622" s="173"/>
      <c r="BL622" s="173"/>
      <c r="BM622" s="173"/>
    </row>
    <row r="623" spans="1:65">
      <c r="A623" s="173"/>
      <c r="B623" s="173"/>
      <c r="C623" s="173"/>
      <c r="D623" s="173"/>
      <c r="E623" s="173"/>
      <c r="F623" s="173"/>
      <c r="G623" s="173"/>
      <c r="H623" s="173"/>
      <c r="I623" s="173"/>
      <c r="J623" s="173"/>
      <c r="K623" s="322"/>
      <c r="L623" s="173"/>
      <c r="M623" s="173"/>
      <c r="Q623" s="173"/>
      <c r="R623" s="173"/>
      <c r="S623" s="173"/>
      <c r="T623" s="173"/>
      <c r="U623" s="173"/>
      <c r="V623" s="173"/>
      <c r="W623" s="173"/>
      <c r="X623" s="173"/>
      <c r="Y623" s="173"/>
      <c r="Z623" s="173"/>
      <c r="AA623" s="173"/>
      <c r="AB623" s="173"/>
      <c r="AC623" s="173"/>
      <c r="AD623" s="173"/>
      <c r="AE623" s="173"/>
      <c r="AF623" s="173"/>
      <c r="AG623" s="173"/>
      <c r="AH623" s="173"/>
      <c r="AI623" s="173"/>
      <c r="AJ623" s="173"/>
      <c r="AK623" s="173"/>
      <c r="AL623" s="173"/>
      <c r="AM623" s="173"/>
      <c r="AN623" s="173"/>
      <c r="AO623" s="173"/>
      <c r="AP623" s="173"/>
      <c r="AQ623" s="173"/>
      <c r="AR623" s="173"/>
      <c r="AS623" s="173"/>
      <c r="AT623" s="173"/>
      <c r="AU623" s="173"/>
      <c r="AV623" s="173"/>
      <c r="AW623" s="173"/>
      <c r="AX623" s="173"/>
      <c r="AY623" s="173"/>
      <c r="AZ623" s="173"/>
      <c r="BA623" s="173"/>
      <c r="BB623" s="173"/>
      <c r="BC623" s="173"/>
      <c r="BD623" s="173"/>
      <c r="BE623" s="173"/>
      <c r="BF623" s="173"/>
      <c r="BG623" s="173"/>
      <c r="BH623" s="173"/>
      <c r="BI623" s="173"/>
      <c r="BJ623" s="173"/>
      <c r="BK623" s="173"/>
      <c r="BL623" s="173"/>
      <c r="BM623" s="173"/>
    </row>
    <row r="624" spans="1:65">
      <c r="A624" s="173"/>
      <c r="B624" s="173"/>
      <c r="C624" s="173"/>
      <c r="D624" s="173"/>
      <c r="E624" s="173"/>
      <c r="F624" s="173"/>
      <c r="G624" s="173"/>
      <c r="H624" s="173"/>
      <c r="I624" s="173"/>
      <c r="J624" s="173"/>
      <c r="K624" s="322"/>
      <c r="L624" s="173"/>
      <c r="M624" s="173"/>
      <c r="Q624" s="173"/>
      <c r="R624" s="173"/>
      <c r="S624" s="173"/>
      <c r="T624" s="173"/>
      <c r="U624" s="173"/>
      <c r="V624" s="173"/>
      <c r="W624" s="173"/>
      <c r="X624" s="173"/>
      <c r="Y624" s="173"/>
      <c r="Z624" s="173"/>
      <c r="AA624" s="173"/>
      <c r="AB624" s="173"/>
      <c r="AC624" s="173"/>
      <c r="AD624" s="173"/>
      <c r="AE624" s="173"/>
      <c r="AF624" s="173"/>
      <c r="AG624" s="173"/>
      <c r="AH624" s="173"/>
      <c r="AI624" s="173"/>
      <c r="AJ624" s="173"/>
      <c r="AK624" s="173"/>
      <c r="AL624" s="173"/>
      <c r="AM624" s="173"/>
      <c r="AN624" s="173"/>
      <c r="AO624" s="173"/>
      <c r="AP624" s="173"/>
      <c r="AQ624" s="173"/>
      <c r="AR624" s="173"/>
      <c r="AS624" s="173"/>
      <c r="AT624" s="173"/>
      <c r="AU624" s="173"/>
      <c r="AV624" s="173"/>
      <c r="AW624" s="173"/>
      <c r="AX624" s="173"/>
      <c r="AY624" s="173"/>
      <c r="AZ624" s="173"/>
      <c r="BA624" s="173"/>
      <c r="BB624" s="173"/>
      <c r="BC624" s="173"/>
      <c r="BD624" s="173"/>
      <c r="BE624" s="173"/>
      <c r="BF624" s="173"/>
      <c r="BG624" s="173"/>
      <c r="BH624" s="173"/>
      <c r="BI624" s="173"/>
      <c r="BJ624" s="173"/>
      <c r="BK624" s="173"/>
      <c r="BL624" s="173"/>
      <c r="BM624" s="173"/>
    </row>
    <row r="625" spans="1:65">
      <c r="A625" s="173"/>
      <c r="B625" s="173"/>
      <c r="C625" s="173"/>
      <c r="D625" s="173"/>
      <c r="E625" s="173"/>
      <c r="F625" s="173"/>
      <c r="G625" s="173"/>
      <c r="H625" s="173"/>
      <c r="I625" s="173"/>
      <c r="J625" s="173"/>
      <c r="K625" s="322"/>
      <c r="L625" s="173"/>
      <c r="M625" s="173"/>
      <c r="Q625" s="173"/>
      <c r="R625" s="173"/>
      <c r="S625" s="173"/>
      <c r="T625" s="173"/>
      <c r="U625" s="173"/>
      <c r="V625" s="173"/>
      <c r="W625" s="173"/>
      <c r="X625" s="173"/>
      <c r="Y625" s="173"/>
      <c r="Z625" s="173"/>
      <c r="AA625" s="173"/>
      <c r="AB625" s="173"/>
      <c r="AC625" s="173"/>
      <c r="AD625" s="173"/>
      <c r="AE625" s="173"/>
      <c r="AF625" s="173"/>
      <c r="AG625" s="173"/>
      <c r="AH625" s="173"/>
      <c r="AI625" s="173"/>
      <c r="AJ625" s="173"/>
      <c r="AK625" s="173"/>
      <c r="AL625" s="173"/>
      <c r="AM625" s="173"/>
      <c r="AN625" s="173"/>
      <c r="AO625" s="173"/>
      <c r="AP625" s="173"/>
      <c r="AQ625" s="173"/>
      <c r="AR625" s="173"/>
      <c r="AS625" s="173"/>
      <c r="AT625" s="173"/>
      <c r="AU625" s="173"/>
      <c r="AV625" s="173"/>
      <c r="AW625" s="173"/>
      <c r="AX625" s="173"/>
      <c r="AY625" s="173"/>
      <c r="AZ625" s="173"/>
      <c r="BA625" s="173"/>
      <c r="BB625" s="173"/>
      <c r="BC625" s="173"/>
      <c r="BD625" s="173"/>
      <c r="BE625" s="173"/>
      <c r="BF625" s="173"/>
      <c r="BG625" s="173"/>
      <c r="BH625" s="173"/>
      <c r="BI625" s="173"/>
      <c r="BJ625" s="173"/>
      <c r="BK625" s="173"/>
      <c r="BL625" s="173"/>
      <c r="BM625" s="173"/>
    </row>
    <row r="626" spans="1:65">
      <c r="A626" s="173"/>
      <c r="B626" s="173"/>
      <c r="C626" s="173"/>
      <c r="D626" s="173"/>
      <c r="E626" s="173"/>
      <c r="F626" s="173"/>
      <c r="G626" s="173"/>
      <c r="H626" s="173"/>
      <c r="I626" s="173"/>
      <c r="J626" s="173"/>
      <c r="K626" s="322"/>
      <c r="L626" s="173"/>
      <c r="M626" s="173"/>
      <c r="Q626" s="173"/>
      <c r="R626" s="173"/>
      <c r="S626" s="173"/>
      <c r="T626" s="173"/>
      <c r="U626" s="173"/>
      <c r="V626" s="173"/>
      <c r="W626" s="173"/>
      <c r="X626" s="173"/>
      <c r="Y626" s="173"/>
      <c r="Z626" s="173"/>
      <c r="AA626" s="173"/>
      <c r="AB626" s="173"/>
      <c r="AC626" s="173"/>
      <c r="AD626" s="173"/>
      <c r="AE626" s="173"/>
      <c r="AF626" s="173"/>
      <c r="AG626" s="173"/>
      <c r="AH626" s="173"/>
      <c r="AI626" s="173"/>
      <c r="AJ626" s="173"/>
      <c r="AK626" s="173"/>
      <c r="AL626" s="173"/>
      <c r="AM626" s="173"/>
      <c r="AN626" s="173"/>
      <c r="AO626" s="173"/>
      <c r="AP626" s="173"/>
      <c r="AQ626" s="173"/>
      <c r="AR626" s="173"/>
      <c r="AS626" s="173"/>
      <c r="AT626" s="173"/>
      <c r="AU626" s="173"/>
      <c r="AV626" s="173"/>
      <c r="AW626" s="173"/>
      <c r="AX626" s="173"/>
      <c r="AY626" s="173"/>
      <c r="AZ626" s="173"/>
      <c r="BA626" s="173"/>
      <c r="BB626" s="173"/>
      <c r="BC626" s="173"/>
      <c r="BD626" s="173"/>
      <c r="BE626" s="173"/>
      <c r="BF626" s="173"/>
      <c r="BG626" s="173"/>
      <c r="BH626" s="173"/>
      <c r="BI626" s="173"/>
      <c r="BJ626" s="173"/>
      <c r="BK626" s="173"/>
      <c r="BL626" s="173"/>
      <c r="BM626" s="173"/>
    </row>
    <row r="627" spans="1:65">
      <c r="A627" s="173"/>
      <c r="B627" s="173"/>
      <c r="C627" s="173"/>
      <c r="D627" s="173"/>
      <c r="E627" s="173"/>
      <c r="F627" s="173"/>
      <c r="G627" s="173"/>
      <c r="H627" s="173"/>
      <c r="I627" s="173"/>
      <c r="J627" s="173"/>
      <c r="K627" s="322"/>
      <c r="L627" s="173"/>
      <c r="M627" s="173"/>
      <c r="Q627" s="173"/>
      <c r="R627" s="173"/>
      <c r="S627" s="173"/>
      <c r="T627" s="173"/>
      <c r="U627" s="173"/>
      <c r="V627" s="173"/>
      <c r="W627" s="173"/>
      <c r="X627" s="173"/>
      <c r="Y627" s="173"/>
      <c r="Z627" s="173"/>
      <c r="AA627" s="173"/>
      <c r="AB627" s="173"/>
      <c r="AC627" s="173"/>
      <c r="AD627" s="173"/>
      <c r="AE627" s="173"/>
      <c r="AF627" s="173"/>
      <c r="AG627" s="173"/>
      <c r="AH627" s="173"/>
      <c r="AI627" s="173"/>
      <c r="AJ627" s="173"/>
      <c r="AK627" s="173"/>
      <c r="AL627" s="173"/>
      <c r="AM627" s="173"/>
      <c r="AN627" s="173"/>
      <c r="AO627" s="173"/>
      <c r="AP627" s="173"/>
      <c r="AQ627" s="173"/>
      <c r="AR627" s="173"/>
      <c r="AS627" s="173"/>
      <c r="AT627" s="173"/>
      <c r="AU627" s="173"/>
      <c r="AV627" s="173"/>
      <c r="AW627" s="173"/>
      <c r="AX627" s="173"/>
      <c r="AY627" s="173"/>
      <c r="AZ627" s="173"/>
      <c r="BA627" s="173"/>
      <c r="BB627" s="173"/>
      <c r="BC627" s="173"/>
      <c r="BD627" s="173"/>
      <c r="BE627" s="173"/>
      <c r="BF627" s="173"/>
      <c r="BG627" s="173"/>
      <c r="BH627" s="173"/>
      <c r="BI627" s="173"/>
      <c r="BJ627" s="173"/>
      <c r="BK627" s="173"/>
      <c r="BL627" s="173"/>
      <c r="BM627" s="173"/>
    </row>
    <row r="628" spans="1:65">
      <c r="A628" s="173"/>
      <c r="B628" s="173"/>
      <c r="C628" s="173"/>
      <c r="D628" s="173"/>
      <c r="E628" s="173"/>
      <c r="F628" s="173"/>
      <c r="G628" s="173"/>
      <c r="H628" s="173"/>
      <c r="I628" s="173"/>
      <c r="J628" s="173"/>
      <c r="K628" s="322"/>
      <c r="L628" s="173"/>
      <c r="M628" s="173"/>
      <c r="Q628" s="173"/>
      <c r="R628" s="173"/>
      <c r="S628" s="173"/>
      <c r="T628" s="173"/>
      <c r="U628" s="173"/>
      <c r="V628" s="173"/>
      <c r="W628" s="173"/>
      <c r="X628" s="173"/>
      <c r="Y628" s="173"/>
      <c r="Z628" s="173"/>
      <c r="AA628" s="173"/>
      <c r="AB628" s="173"/>
      <c r="AC628" s="173"/>
      <c r="AD628" s="173"/>
      <c r="AE628" s="173"/>
      <c r="AF628" s="173"/>
      <c r="AG628" s="173"/>
      <c r="AH628" s="173"/>
      <c r="AI628" s="173"/>
      <c r="AJ628" s="173"/>
      <c r="AK628" s="173"/>
      <c r="AL628" s="173"/>
      <c r="AM628" s="173"/>
      <c r="AN628" s="173"/>
      <c r="AO628" s="173"/>
      <c r="AP628" s="173"/>
      <c r="AQ628" s="173"/>
      <c r="AR628" s="173"/>
      <c r="AS628" s="173"/>
      <c r="AT628" s="173"/>
      <c r="AU628" s="173"/>
      <c r="AV628" s="173"/>
      <c r="AW628" s="173"/>
      <c r="AX628" s="173"/>
      <c r="AY628" s="173"/>
      <c r="AZ628" s="173"/>
      <c r="BA628" s="173"/>
      <c r="BB628" s="173"/>
      <c r="BC628" s="173"/>
      <c r="BD628" s="173"/>
      <c r="BE628" s="173"/>
      <c r="BF628" s="173"/>
      <c r="BG628" s="173"/>
      <c r="BH628" s="173"/>
      <c r="BI628" s="173"/>
      <c r="BJ628" s="173"/>
      <c r="BK628" s="173"/>
      <c r="BL628" s="173"/>
      <c r="BM628" s="173"/>
    </row>
    <row r="629" spans="1:65">
      <c r="A629" s="173"/>
      <c r="B629" s="173"/>
      <c r="C629" s="173"/>
      <c r="D629" s="173"/>
      <c r="E629" s="173"/>
      <c r="F629" s="173"/>
      <c r="G629" s="173"/>
      <c r="H629" s="173"/>
      <c r="I629" s="173"/>
      <c r="J629" s="173"/>
      <c r="K629" s="322"/>
      <c r="L629" s="173"/>
      <c r="M629" s="173"/>
      <c r="Q629" s="173"/>
      <c r="R629" s="173"/>
      <c r="S629" s="173"/>
      <c r="T629" s="173"/>
      <c r="U629" s="173"/>
      <c r="V629" s="173"/>
      <c r="W629" s="173"/>
      <c r="X629" s="173"/>
      <c r="Y629" s="173"/>
      <c r="Z629" s="173"/>
      <c r="AA629" s="173"/>
      <c r="AB629" s="173"/>
      <c r="AC629" s="173"/>
      <c r="AD629" s="173"/>
      <c r="AE629" s="173"/>
      <c r="AF629" s="173"/>
      <c r="AG629" s="173"/>
      <c r="AH629" s="173"/>
      <c r="AI629" s="173"/>
      <c r="AJ629" s="173"/>
      <c r="AK629" s="173"/>
      <c r="AL629" s="173"/>
      <c r="AM629" s="173"/>
      <c r="AN629" s="173"/>
      <c r="AO629" s="173"/>
      <c r="AP629" s="173"/>
      <c r="AQ629" s="173"/>
      <c r="AR629" s="173"/>
      <c r="AS629" s="173"/>
      <c r="AT629" s="173"/>
      <c r="AU629" s="173"/>
      <c r="AV629" s="173"/>
      <c r="AW629" s="173"/>
      <c r="AX629" s="173"/>
      <c r="AY629" s="173"/>
      <c r="AZ629" s="173"/>
      <c r="BA629" s="173"/>
      <c r="BB629" s="173"/>
      <c r="BC629" s="173"/>
      <c r="BD629" s="173"/>
      <c r="BE629" s="173"/>
      <c r="BF629" s="173"/>
      <c r="BG629" s="173"/>
      <c r="BH629" s="173"/>
      <c r="BI629" s="173"/>
      <c r="BJ629" s="173"/>
      <c r="BK629" s="173"/>
      <c r="BL629" s="173"/>
      <c r="BM629" s="173"/>
    </row>
    <row r="630" spans="1:65">
      <c r="A630" s="173"/>
      <c r="B630" s="173"/>
      <c r="C630" s="173"/>
      <c r="D630" s="173"/>
      <c r="E630" s="173"/>
      <c r="F630" s="173"/>
      <c r="G630" s="173"/>
      <c r="H630" s="173"/>
      <c r="I630" s="173"/>
      <c r="J630" s="173"/>
      <c r="K630" s="322"/>
      <c r="L630" s="173"/>
      <c r="M630" s="173"/>
      <c r="Q630" s="173"/>
      <c r="R630" s="173"/>
      <c r="S630" s="173"/>
      <c r="T630" s="173"/>
      <c r="U630" s="173"/>
      <c r="V630" s="173"/>
      <c r="W630" s="173"/>
      <c r="X630" s="173"/>
      <c r="Y630" s="173"/>
      <c r="Z630" s="173"/>
      <c r="AA630" s="173"/>
      <c r="AB630" s="173"/>
      <c r="AC630" s="173"/>
      <c r="AD630" s="173"/>
      <c r="AE630" s="173"/>
      <c r="AF630" s="173"/>
      <c r="AG630" s="173"/>
      <c r="AH630" s="173"/>
      <c r="AI630" s="173"/>
      <c r="AJ630" s="173"/>
      <c r="AK630" s="173"/>
      <c r="AL630" s="173"/>
      <c r="AM630" s="173"/>
      <c r="AN630" s="173"/>
      <c r="AO630" s="173"/>
      <c r="AP630" s="173"/>
      <c r="AQ630" s="173"/>
      <c r="AR630" s="173"/>
      <c r="AS630" s="173"/>
      <c r="AT630" s="173"/>
      <c r="AU630" s="173"/>
      <c r="AV630" s="173"/>
      <c r="AW630" s="173"/>
      <c r="AX630" s="173"/>
      <c r="AY630" s="173"/>
      <c r="AZ630" s="173"/>
      <c r="BA630" s="173"/>
      <c r="BB630" s="173"/>
      <c r="BC630" s="173"/>
      <c r="BD630" s="173"/>
      <c r="BE630" s="173"/>
      <c r="BF630" s="173"/>
      <c r="BG630" s="173"/>
      <c r="BH630" s="173"/>
      <c r="BI630" s="173"/>
      <c r="BJ630" s="173"/>
      <c r="BK630" s="173"/>
      <c r="BL630" s="173"/>
      <c r="BM630" s="173"/>
    </row>
    <row r="631" spans="1:65">
      <c r="A631" s="173"/>
      <c r="B631" s="173"/>
      <c r="C631" s="173"/>
      <c r="D631" s="173"/>
      <c r="E631" s="173"/>
      <c r="F631" s="173"/>
      <c r="G631" s="173"/>
      <c r="H631" s="173"/>
      <c r="I631" s="173"/>
      <c r="J631" s="173"/>
      <c r="K631" s="322"/>
      <c r="L631" s="173"/>
      <c r="M631" s="173"/>
      <c r="Q631" s="173"/>
      <c r="R631" s="173"/>
      <c r="S631" s="173"/>
      <c r="T631" s="173"/>
      <c r="U631" s="173"/>
      <c r="V631" s="173"/>
      <c r="W631" s="173"/>
      <c r="X631" s="173"/>
      <c r="Y631" s="173"/>
      <c r="Z631" s="173"/>
      <c r="AA631" s="173"/>
      <c r="AB631" s="173"/>
      <c r="AC631" s="173"/>
      <c r="AD631" s="173"/>
      <c r="AE631" s="173"/>
      <c r="AF631" s="173"/>
      <c r="AG631" s="173"/>
      <c r="AH631" s="173"/>
      <c r="AI631" s="173"/>
      <c r="AJ631" s="173"/>
      <c r="AK631" s="173"/>
      <c r="AL631" s="173"/>
      <c r="AM631" s="173"/>
      <c r="AN631" s="173"/>
      <c r="AO631" s="173"/>
      <c r="AP631" s="173"/>
      <c r="AQ631" s="173"/>
      <c r="AR631" s="173"/>
      <c r="AS631" s="173"/>
      <c r="AT631" s="173"/>
      <c r="AU631" s="173"/>
      <c r="AV631" s="173"/>
      <c r="AW631" s="173"/>
      <c r="AX631" s="173"/>
      <c r="AY631" s="173"/>
      <c r="AZ631" s="173"/>
      <c r="BA631" s="173"/>
      <c r="BB631" s="173"/>
      <c r="BC631" s="173"/>
      <c r="BD631" s="173"/>
      <c r="BE631" s="173"/>
      <c r="BF631" s="173"/>
      <c r="BG631" s="173"/>
      <c r="BH631" s="173"/>
      <c r="BI631" s="173"/>
      <c r="BJ631" s="173"/>
      <c r="BK631" s="173"/>
      <c r="BL631" s="173"/>
      <c r="BM631" s="173"/>
    </row>
    <row r="632" spans="1:65">
      <c r="A632" s="173"/>
      <c r="B632" s="173"/>
      <c r="C632" s="173"/>
      <c r="D632" s="173"/>
      <c r="E632" s="173"/>
      <c r="F632" s="173"/>
      <c r="G632" s="173"/>
      <c r="H632" s="173"/>
      <c r="I632" s="173"/>
      <c r="J632" s="173"/>
      <c r="K632" s="322"/>
      <c r="L632" s="173"/>
      <c r="M632" s="173"/>
      <c r="Q632" s="173"/>
      <c r="R632" s="173"/>
      <c r="S632" s="173"/>
      <c r="T632" s="173"/>
      <c r="U632" s="173"/>
      <c r="V632" s="173"/>
      <c r="W632" s="173"/>
      <c r="X632" s="173"/>
      <c r="Y632" s="173"/>
      <c r="Z632" s="173"/>
      <c r="AA632" s="173"/>
      <c r="AB632" s="173"/>
      <c r="AC632" s="173"/>
      <c r="AD632" s="173"/>
      <c r="AE632" s="173"/>
      <c r="AF632" s="173"/>
      <c r="AG632" s="173"/>
      <c r="AH632" s="173"/>
      <c r="AI632" s="173"/>
      <c r="AJ632" s="173"/>
      <c r="AK632" s="173"/>
      <c r="AL632" s="173"/>
      <c r="AM632" s="173"/>
      <c r="AN632" s="173"/>
      <c r="AO632" s="173"/>
      <c r="AP632" s="173"/>
      <c r="AQ632" s="173"/>
      <c r="AR632" s="173"/>
      <c r="AS632" s="173"/>
      <c r="AT632" s="173"/>
      <c r="AU632" s="173"/>
      <c r="AV632" s="173"/>
      <c r="AW632" s="173"/>
      <c r="AX632" s="173"/>
      <c r="AY632" s="173"/>
      <c r="AZ632" s="173"/>
      <c r="BA632" s="173"/>
      <c r="BB632" s="173"/>
      <c r="BC632" s="173"/>
      <c r="BD632" s="173"/>
      <c r="BE632" s="173"/>
      <c r="BF632" s="173"/>
      <c r="BG632" s="173"/>
      <c r="BH632" s="173"/>
      <c r="BI632" s="173"/>
      <c r="BJ632" s="173"/>
      <c r="BK632" s="173"/>
      <c r="BL632" s="173"/>
      <c r="BM632" s="173"/>
    </row>
    <row r="633" spans="1:65">
      <c r="A633" s="173"/>
      <c r="B633" s="173"/>
      <c r="C633" s="173"/>
      <c r="D633" s="173"/>
      <c r="E633" s="173"/>
      <c r="F633" s="173"/>
      <c r="G633" s="173"/>
      <c r="H633" s="173"/>
      <c r="I633" s="173"/>
      <c r="J633" s="173"/>
      <c r="K633" s="322"/>
      <c r="L633" s="173"/>
      <c r="M633" s="173"/>
      <c r="Q633" s="173"/>
      <c r="R633" s="173"/>
      <c r="S633" s="173"/>
      <c r="T633" s="173"/>
      <c r="U633" s="173"/>
      <c r="V633" s="173"/>
      <c r="W633" s="173"/>
      <c r="X633" s="173"/>
      <c r="Y633" s="173"/>
      <c r="Z633" s="173"/>
      <c r="AA633" s="173"/>
      <c r="AB633" s="173"/>
      <c r="AC633" s="173"/>
      <c r="AD633" s="173"/>
      <c r="AE633" s="173"/>
      <c r="AF633" s="173"/>
      <c r="AG633" s="173"/>
      <c r="AH633" s="173"/>
      <c r="AI633" s="173"/>
      <c r="AJ633" s="173"/>
      <c r="AK633" s="173"/>
      <c r="AL633" s="173"/>
      <c r="AM633" s="173"/>
      <c r="AN633" s="173"/>
      <c r="AO633" s="173"/>
      <c r="AP633" s="173"/>
      <c r="AQ633" s="173"/>
      <c r="AR633" s="173"/>
      <c r="AS633" s="173"/>
      <c r="AT633" s="173"/>
      <c r="AU633" s="173"/>
      <c r="AV633" s="173"/>
      <c r="AW633" s="173"/>
      <c r="AX633" s="173"/>
      <c r="AY633" s="173"/>
      <c r="AZ633" s="173"/>
      <c r="BA633" s="173"/>
      <c r="BB633" s="173"/>
      <c r="BC633" s="173"/>
      <c r="BD633" s="173"/>
      <c r="BE633" s="173"/>
      <c r="BF633" s="173"/>
      <c r="BG633" s="173"/>
      <c r="BH633" s="173"/>
      <c r="BI633" s="173"/>
      <c r="BJ633" s="173"/>
      <c r="BK633" s="173"/>
      <c r="BL633" s="173"/>
      <c r="BM633" s="173"/>
    </row>
    <row r="634" spans="1:65">
      <c r="A634" s="173"/>
      <c r="B634" s="173"/>
      <c r="C634" s="173"/>
      <c r="D634" s="173"/>
      <c r="E634" s="173"/>
      <c r="F634" s="173"/>
      <c r="G634" s="173"/>
      <c r="H634" s="173"/>
      <c r="I634" s="173"/>
      <c r="J634" s="173"/>
      <c r="K634" s="322"/>
      <c r="L634" s="173"/>
      <c r="M634" s="173"/>
      <c r="Q634" s="173"/>
      <c r="R634" s="173"/>
      <c r="S634" s="173"/>
      <c r="T634" s="173"/>
      <c r="U634" s="173"/>
      <c r="V634" s="173"/>
      <c r="W634" s="173"/>
      <c r="X634" s="173"/>
      <c r="Y634" s="173"/>
      <c r="Z634" s="173"/>
      <c r="AA634" s="173"/>
      <c r="AB634" s="173"/>
      <c r="AC634" s="173"/>
      <c r="AD634" s="173"/>
      <c r="AE634" s="173"/>
      <c r="AF634" s="173"/>
      <c r="AG634" s="173"/>
      <c r="AH634" s="173"/>
      <c r="AI634" s="173"/>
      <c r="AJ634" s="173"/>
      <c r="AK634" s="173"/>
      <c r="AL634" s="173"/>
      <c r="AM634" s="173"/>
      <c r="AN634" s="173"/>
      <c r="AO634" s="173"/>
      <c r="AP634" s="173"/>
      <c r="AQ634" s="173"/>
      <c r="AR634" s="173"/>
      <c r="AS634" s="173"/>
      <c r="AT634" s="173"/>
      <c r="AU634" s="173"/>
      <c r="AV634" s="173"/>
      <c r="AW634" s="173"/>
      <c r="AX634" s="173"/>
      <c r="AY634" s="173"/>
      <c r="AZ634" s="173"/>
      <c r="BA634" s="173"/>
      <c r="BB634" s="173"/>
      <c r="BC634" s="173"/>
      <c r="BD634" s="173"/>
      <c r="BE634" s="173"/>
      <c r="BF634" s="173"/>
      <c r="BG634" s="173"/>
      <c r="BH634" s="173"/>
      <c r="BI634" s="173"/>
      <c r="BJ634" s="173"/>
      <c r="BK634" s="173"/>
      <c r="BL634" s="173"/>
      <c r="BM634" s="173"/>
    </row>
    <row r="635" spans="1:65">
      <c r="A635" s="173"/>
      <c r="B635" s="173"/>
      <c r="C635" s="173"/>
      <c r="D635" s="173"/>
      <c r="E635" s="173"/>
      <c r="F635" s="173"/>
      <c r="G635" s="173"/>
      <c r="H635" s="173"/>
      <c r="I635" s="173"/>
      <c r="J635" s="173"/>
      <c r="K635" s="322"/>
      <c r="L635" s="173"/>
      <c r="M635" s="173"/>
      <c r="Q635" s="173"/>
      <c r="R635" s="173"/>
      <c r="S635" s="173"/>
      <c r="T635" s="173"/>
      <c r="U635" s="173"/>
      <c r="V635" s="173"/>
      <c r="W635" s="173"/>
      <c r="X635" s="173"/>
      <c r="Y635" s="173"/>
      <c r="Z635" s="173"/>
      <c r="AA635" s="173"/>
      <c r="AB635" s="173"/>
      <c r="AC635" s="173"/>
      <c r="AD635" s="173"/>
      <c r="AE635" s="173"/>
      <c r="AF635" s="173"/>
      <c r="AG635" s="173"/>
      <c r="AH635" s="173"/>
      <c r="AI635" s="173"/>
      <c r="AJ635" s="173"/>
      <c r="AK635" s="173"/>
      <c r="AL635" s="173"/>
      <c r="AM635" s="173"/>
      <c r="AN635" s="173"/>
      <c r="AO635" s="173"/>
      <c r="AP635" s="173"/>
      <c r="AQ635" s="173"/>
      <c r="AR635" s="173"/>
      <c r="AS635" s="173"/>
      <c r="AT635" s="173"/>
      <c r="AU635" s="173"/>
      <c r="AV635" s="173"/>
      <c r="AW635" s="173"/>
      <c r="AX635" s="173"/>
      <c r="AY635" s="173"/>
      <c r="AZ635" s="173"/>
      <c r="BA635" s="173"/>
      <c r="BB635" s="173"/>
      <c r="BC635" s="173"/>
      <c r="BD635" s="173"/>
      <c r="BE635" s="173"/>
      <c r="BF635" s="173"/>
      <c r="BG635" s="173"/>
      <c r="BH635" s="173"/>
      <c r="BI635" s="173"/>
      <c r="BJ635" s="173"/>
      <c r="BK635" s="173"/>
      <c r="BL635" s="173"/>
      <c r="BM635" s="173"/>
    </row>
    <row r="636" spans="1:65">
      <c r="A636" s="173"/>
      <c r="B636" s="173"/>
      <c r="C636" s="173"/>
      <c r="D636" s="173"/>
      <c r="E636" s="173"/>
      <c r="F636" s="173"/>
      <c r="G636" s="173"/>
      <c r="H636" s="173"/>
      <c r="I636" s="173"/>
      <c r="J636" s="173"/>
      <c r="K636" s="322"/>
      <c r="L636" s="173"/>
      <c r="M636" s="173"/>
      <c r="Q636" s="173"/>
      <c r="R636" s="173"/>
      <c r="S636" s="173"/>
      <c r="T636" s="173"/>
      <c r="U636" s="173"/>
      <c r="V636" s="173"/>
      <c r="W636" s="173"/>
      <c r="X636" s="173"/>
      <c r="Y636" s="173"/>
      <c r="Z636" s="173"/>
      <c r="AA636" s="173"/>
      <c r="AB636" s="173"/>
      <c r="AC636" s="173"/>
      <c r="AD636" s="173"/>
      <c r="AE636" s="173"/>
      <c r="AF636" s="173"/>
      <c r="AG636" s="173"/>
      <c r="AH636" s="173"/>
      <c r="AI636" s="173"/>
      <c r="AJ636" s="173"/>
      <c r="AK636" s="173"/>
      <c r="AL636" s="173"/>
      <c r="AM636" s="173"/>
      <c r="AN636" s="173"/>
      <c r="AO636" s="173"/>
      <c r="AP636" s="173"/>
      <c r="AQ636" s="173"/>
      <c r="AR636" s="173"/>
      <c r="AS636" s="173"/>
      <c r="AT636" s="173"/>
      <c r="AU636" s="173"/>
      <c r="AV636" s="173"/>
      <c r="AW636" s="173"/>
      <c r="AX636" s="173"/>
      <c r="AY636" s="173"/>
      <c r="AZ636" s="173"/>
      <c r="BA636" s="173"/>
      <c r="BB636" s="173"/>
      <c r="BC636" s="173"/>
      <c r="BD636" s="173"/>
      <c r="BE636" s="173"/>
      <c r="BF636" s="173"/>
      <c r="BG636" s="173"/>
      <c r="BH636" s="173"/>
      <c r="BI636" s="173"/>
      <c r="BJ636" s="173"/>
      <c r="BK636" s="173"/>
      <c r="BL636" s="173"/>
      <c r="BM636" s="173"/>
    </row>
    <row r="637" spans="1:65">
      <c r="A637" s="173"/>
      <c r="B637" s="173"/>
      <c r="C637" s="173"/>
      <c r="D637" s="173"/>
      <c r="E637" s="173"/>
      <c r="F637" s="173"/>
      <c r="G637" s="173"/>
      <c r="H637" s="173"/>
      <c r="I637" s="173"/>
      <c r="J637" s="173"/>
      <c r="K637" s="322"/>
      <c r="L637" s="173"/>
      <c r="M637" s="173"/>
      <c r="Q637" s="173"/>
      <c r="R637" s="173"/>
      <c r="S637" s="173"/>
      <c r="T637" s="173"/>
      <c r="U637" s="173"/>
      <c r="V637" s="173"/>
      <c r="W637" s="173"/>
      <c r="X637" s="173"/>
      <c r="Y637" s="173"/>
      <c r="Z637" s="173"/>
      <c r="AA637" s="173"/>
      <c r="AB637" s="173"/>
      <c r="AC637" s="173"/>
      <c r="AD637" s="173"/>
      <c r="AE637" s="173"/>
      <c r="AF637" s="173"/>
      <c r="AG637" s="173"/>
      <c r="AH637" s="173"/>
      <c r="AI637" s="173"/>
      <c r="AJ637" s="173"/>
      <c r="AK637" s="173"/>
      <c r="AL637" s="173"/>
      <c r="AM637" s="173"/>
      <c r="AN637" s="173"/>
      <c r="AO637" s="173"/>
      <c r="AP637" s="173"/>
      <c r="AQ637" s="173"/>
      <c r="AR637" s="173"/>
      <c r="AS637" s="173"/>
      <c r="AT637" s="173"/>
      <c r="AU637" s="173"/>
      <c r="AV637" s="173"/>
      <c r="AW637" s="173"/>
      <c r="AX637" s="173"/>
      <c r="AY637" s="173"/>
      <c r="AZ637" s="173"/>
      <c r="BA637" s="173"/>
      <c r="BB637" s="173"/>
      <c r="BC637" s="173"/>
      <c r="BD637" s="173"/>
      <c r="BE637" s="173"/>
      <c r="BF637" s="173"/>
      <c r="BG637" s="173"/>
      <c r="BH637" s="173"/>
      <c r="BI637" s="173"/>
      <c r="BJ637" s="173"/>
      <c r="BK637" s="173"/>
      <c r="BL637" s="173"/>
      <c r="BM637" s="173"/>
    </row>
    <row r="638" spans="1:65">
      <c r="A638" s="173"/>
      <c r="B638" s="173"/>
      <c r="C638" s="173"/>
      <c r="D638" s="173"/>
      <c r="E638" s="173"/>
      <c r="F638" s="173"/>
      <c r="G638" s="173"/>
      <c r="H638" s="173"/>
      <c r="I638" s="173"/>
      <c r="J638" s="173"/>
      <c r="K638" s="322"/>
      <c r="L638" s="173"/>
      <c r="M638" s="173"/>
      <c r="Q638" s="173"/>
      <c r="R638" s="173"/>
      <c r="S638" s="173"/>
      <c r="T638" s="173"/>
      <c r="U638" s="173"/>
      <c r="V638" s="173"/>
      <c r="W638" s="173"/>
      <c r="X638" s="173"/>
      <c r="Y638" s="173"/>
      <c r="Z638" s="173"/>
      <c r="AA638" s="173"/>
      <c r="AB638" s="173"/>
      <c r="AC638" s="173"/>
      <c r="AD638" s="173"/>
      <c r="AE638" s="173"/>
      <c r="AF638" s="173"/>
      <c r="AG638" s="173"/>
      <c r="AH638" s="173"/>
      <c r="AI638" s="173"/>
      <c r="AJ638" s="173"/>
      <c r="AK638" s="173"/>
      <c r="AL638" s="173"/>
      <c r="AM638" s="173"/>
      <c r="AN638" s="173"/>
      <c r="AO638" s="173"/>
      <c r="AP638" s="173"/>
      <c r="AQ638" s="173"/>
      <c r="AR638" s="173"/>
      <c r="AS638" s="173"/>
      <c r="AT638" s="173"/>
      <c r="AU638" s="173"/>
      <c r="AV638" s="173"/>
      <c r="AW638" s="173"/>
      <c r="AX638" s="173"/>
      <c r="AY638" s="173"/>
      <c r="AZ638" s="173"/>
      <c r="BA638" s="173"/>
      <c r="BB638" s="173"/>
      <c r="BC638" s="173"/>
      <c r="BD638" s="173"/>
      <c r="BE638" s="173"/>
      <c r="BF638" s="173"/>
      <c r="BG638" s="173"/>
      <c r="BH638" s="173"/>
      <c r="BI638" s="173"/>
      <c r="BJ638" s="173"/>
      <c r="BK638" s="173"/>
      <c r="BL638" s="173"/>
      <c r="BM638" s="173"/>
    </row>
    <row r="639" spans="1:65">
      <c r="A639" s="173"/>
      <c r="B639" s="173"/>
      <c r="C639" s="173"/>
      <c r="D639" s="173"/>
      <c r="E639" s="173"/>
      <c r="F639" s="173"/>
      <c r="G639" s="173"/>
      <c r="H639" s="173"/>
      <c r="I639" s="173"/>
      <c r="J639" s="173"/>
      <c r="K639" s="322"/>
      <c r="L639" s="173"/>
      <c r="M639" s="173"/>
      <c r="Q639" s="173"/>
      <c r="R639" s="173"/>
      <c r="S639" s="173"/>
      <c r="T639" s="173"/>
      <c r="U639" s="173"/>
      <c r="V639" s="173"/>
      <c r="W639" s="173"/>
      <c r="X639" s="173"/>
      <c r="Y639" s="173"/>
      <c r="Z639" s="173"/>
      <c r="AA639" s="173"/>
      <c r="AB639" s="173"/>
      <c r="AC639" s="173"/>
      <c r="AD639" s="173"/>
      <c r="AE639" s="173"/>
      <c r="AF639" s="173"/>
      <c r="AG639" s="173"/>
      <c r="AH639" s="173"/>
      <c r="AI639" s="173"/>
      <c r="AJ639" s="173"/>
      <c r="AK639" s="173"/>
      <c r="AL639" s="173"/>
      <c r="AM639" s="173"/>
      <c r="AN639" s="173"/>
      <c r="AO639" s="173"/>
      <c r="AP639" s="173"/>
      <c r="AQ639" s="173"/>
      <c r="AR639" s="173"/>
      <c r="AS639" s="173"/>
      <c r="AT639" s="173"/>
      <c r="AU639" s="173"/>
      <c r="AV639" s="173"/>
      <c r="AW639" s="173"/>
      <c r="AX639" s="173"/>
      <c r="AY639" s="173"/>
      <c r="AZ639" s="173"/>
      <c r="BA639" s="173"/>
      <c r="BB639" s="173"/>
      <c r="BC639" s="173"/>
      <c r="BD639" s="173"/>
      <c r="BE639" s="173"/>
      <c r="BF639" s="173"/>
      <c r="BG639" s="173"/>
      <c r="BH639" s="173"/>
      <c r="BI639" s="173"/>
      <c r="BJ639" s="173"/>
      <c r="BK639" s="173"/>
      <c r="BL639" s="173"/>
      <c r="BM639" s="173"/>
    </row>
    <row r="640" spans="1:65">
      <c r="A640" s="173"/>
      <c r="B640" s="173"/>
      <c r="C640" s="173"/>
      <c r="D640" s="173"/>
      <c r="E640" s="173"/>
      <c r="F640" s="173"/>
      <c r="G640" s="173"/>
      <c r="H640" s="173"/>
      <c r="I640" s="173"/>
      <c r="J640" s="173"/>
      <c r="K640" s="322"/>
      <c r="L640" s="173"/>
      <c r="M640" s="173"/>
      <c r="Q640" s="173"/>
      <c r="R640" s="173"/>
      <c r="S640" s="173"/>
      <c r="T640" s="173"/>
      <c r="U640" s="173"/>
      <c r="V640" s="173"/>
      <c r="W640" s="173"/>
      <c r="X640" s="173"/>
      <c r="Y640" s="173"/>
      <c r="Z640" s="173"/>
      <c r="AA640" s="173"/>
      <c r="AB640" s="173"/>
      <c r="AC640" s="173"/>
      <c r="AD640" s="173"/>
      <c r="AE640" s="173"/>
      <c r="AF640" s="173"/>
      <c r="AG640" s="173"/>
      <c r="AH640" s="173"/>
      <c r="AI640" s="173"/>
      <c r="AJ640" s="173"/>
      <c r="AK640" s="173"/>
      <c r="AL640" s="173"/>
      <c r="AM640" s="173"/>
      <c r="AN640" s="173"/>
      <c r="AO640" s="173"/>
      <c r="AP640" s="173"/>
      <c r="AQ640" s="173"/>
      <c r="AR640" s="173"/>
      <c r="AS640" s="173"/>
      <c r="AT640" s="173"/>
      <c r="AU640" s="173"/>
      <c r="AV640" s="173"/>
      <c r="AW640" s="173"/>
      <c r="AX640" s="173"/>
      <c r="AY640" s="173"/>
      <c r="AZ640" s="173"/>
      <c r="BA640" s="173"/>
      <c r="BB640" s="173"/>
      <c r="BC640" s="173"/>
      <c r="BD640" s="173"/>
      <c r="BE640" s="173"/>
      <c r="BF640" s="173"/>
      <c r="BG640" s="173"/>
      <c r="BH640" s="173"/>
      <c r="BI640" s="173"/>
      <c r="BJ640" s="173"/>
      <c r="BK640" s="173"/>
      <c r="BL640" s="173"/>
      <c r="BM640" s="173"/>
    </row>
    <row r="641" spans="1:65">
      <c r="A641" s="173"/>
      <c r="B641" s="173"/>
      <c r="C641" s="173"/>
      <c r="D641" s="173"/>
      <c r="E641" s="173"/>
      <c r="F641" s="173"/>
      <c r="G641" s="173"/>
      <c r="H641" s="173"/>
      <c r="I641" s="173"/>
      <c r="J641" s="173"/>
      <c r="K641" s="322"/>
      <c r="L641" s="173"/>
      <c r="M641" s="173"/>
      <c r="Q641" s="173"/>
      <c r="R641" s="173"/>
      <c r="S641" s="173"/>
      <c r="T641" s="173"/>
      <c r="U641" s="173"/>
      <c r="V641" s="173"/>
      <c r="W641" s="173"/>
      <c r="X641" s="173"/>
      <c r="Y641" s="173"/>
      <c r="Z641" s="173"/>
      <c r="AA641" s="173"/>
      <c r="AB641" s="173"/>
      <c r="AC641" s="173"/>
      <c r="AD641" s="173"/>
      <c r="AE641" s="173"/>
      <c r="AF641" s="173"/>
      <c r="AG641" s="173"/>
      <c r="AH641" s="173"/>
      <c r="AI641" s="173"/>
      <c r="AJ641" s="173"/>
      <c r="AK641" s="173"/>
      <c r="AL641" s="173"/>
      <c r="AM641" s="173"/>
      <c r="AN641" s="173"/>
      <c r="AO641" s="173"/>
      <c r="AP641" s="173"/>
      <c r="AQ641" s="173"/>
      <c r="AR641" s="173"/>
      <c r="AS641" s="173"/>
      <c r="AT641" s="173"/>
      <c r="AU641" s="173"/>
      <c r="AV641" s="173"/>
      <c r="AW641" s="173"/>
      <c r="AX641" s="173"/>
      <c r="AY641" s="173"/>
      <c r="AZ641" s="173"/>
      <c r="BA641" s="173"/>
      <c r="BB641" s="173"/>
      <c r="BC641" s="173"/>
      <c r="BD641" s="173"/>
      <c r="BE641" s="173"/>
      <c r="BF641" s="173"/>
      <c r="BG641" s="173"/>
      <c r="BH641" s="173"/>
      <c r="BI641" s="173"/>
      <c r="BJ641" s="173"/>
      <c r="BK641" s="173"/>
      <c r="BL641" s="173"/>
      <c r="BM641" s="173"/>
    </row>
    <row r="642" spans="1:65">
      <c r="A642" s="173"/>
      <c r="B642" s="173"/>
      <c r="C642" s="173"/>
      <c r="D642" s="173"/>
      <c r="E642" s="173"/>
      <c r="F642" s="173"/>
      <c r="G642" s="173"/>
      <c r="H642" s="173"/>
      <c r="I642" s="173"/>
      <c r="J642" s="173"/>
      <c r="K642" s="322"/>
      <c r="L642" s="173"/>
      <c r="M642" s="173"/>
      <c r="Q642" s="173"/>
      <c r="R642" s="173"/>
      <c r="S642" s="173"/>
      <c r="T642" s="173"/>
      <c r="U642" s="173"/>
      <c r="V642" s="173"/>
      <c r="W642" s="173"/>
      <c r="X642" s="173"/>
      <c r="Y642" s="173"/>
      <c r="Z642" s="173"/>
      <c r="AA642" s="173"/>
      <c r="AB642" s="173"/>
      <c r="AC642" s="173"/>
      <c r="AD642" s="173"/>
      <c r="AE642" s="173"/>
      <c r="AF642" s="173"/>
      <c r="AG642" s="173"/>
      <c r="AH642" s="173"/>
      <c r="AI642" s="173"/>
      <c r="AJ642" s="173"/>
      <c r="AK642" s="173"/>
      <c r="AL642" s="173"/>
      <c r="AM642" s="173"/>
      <c r="AN642" s="173"/>
      <c r="AO642" s="173"/>
      <c r="AP642" s="173"/>
      <c r="AQ642" s="173"/>
      <c r="AR642" s="173"/>
      <c r="AS642" s="173"/>
      <c r="AT642" s="173"/>
      <c r="AU642" s="173"/>
      <c r="AV642" s="173"/>
      <c r="AW642" s="173"/>
      <c r="AX642" s="173"/>
      <c r="AY642" s="173"/>
      <c r="AZ642" s="173"/>
      <c r="BA642" s="173"/>
      <c r="BB642" s="173"/>
      <c r="BC642" s="173"/>
      <c r="BD642" s="173"/>
      <c r="BE642" s="173"/>
      <c r="BF642" s="173"/>
      <c r="BG642" s="173"/>
      <c r="BH642" s="173"/>
      <c r="BI642" s="173"/>
      <c r="BJ642" s="173"/>
      <c r="BK642" s="173"/>
      <c r="BL642" s="173"/>
      <c r="BM642" s="173"/>
    </row>
    <row r="643" spans="1:65">
      <c r="A643" s="173"/>
      <c r="B643" s="173"/>
      <c r="C643" s="173"/>
      <c r="D643" s="173"/>
      <c r="E643" s="173"/>
      <c r="F643" s="173"/>
      <c r="G643" s="173"/>
      <c r="H643" s="173"/>
      <c r="I643" s="173"/>
      <c r="J643" s="173"/>
      <c r="K643" s="322"/>
      <c r="L643" s="173"/>
      <c r="M643" s="173"/>
      <c r="Q643" s="173"/>
      <c r="R643" s="173"/>
      <c r="S643" s="173"/>
      <c r="T643" s="173"/>
      <c r="U643" s="173"/>
      <c r="V643" s="173"/>
      <c r="W643" s="173"/>
      <c r="X643" s="173"/>
      <c r="Y643" s="173"/>
      <c r="Z643" s="173"/>
      <c r="AA643" s="173"/>
      <c r="AB643" s="173"/>
      <c r="AC643" s="173"/>
      <c r="AD643" s="173"/>
      <c r="AE643" s="173"/>
      <c r="AF643" s="173"/>
      <c r="AG643" s="173"/>
      <c r="AH643" s="173"/>
      <c r="AI643" s="173"/>
      <c r="AJ643" s="173"/>
      <c r="AK643" s="173"/>
      <c r="AL643" s="173"/>
      <c r="AM643" s="173"/>
      <c r="AN643" s="173"/>
      <c r="AO643" s="173"/>
      <c r="AP643" s="173"/>
      <c r="AQ643" s="173"/>
      <c r="AR643" s="173"/>
      <c r="AS643" s="173"/>
      <c r="AT643" s="173"/>
      <c r="AU643" s="173"/>
      <c r="AV643" s="173"/>
      <c r="AW643" s="173"/>
      <c r="AX643" s="173"/>
      <c r="AY643" s="173"/>
      <c r="AZ643" s="173"/>
      <c r="BA643" s="173"/>
      <c r="BB643" s="173"/>
      <c r="BC643" s="173"/>
      <c r="BD643" s="173"/>
      <c r="BE643" s="173"/>
      <c r="BF643" s="173"/>
      <c r="BG643" s="173"/>
      <c r="BH643" s="173"/>
      <c r="BI643" s="173"/>
      <c r="BJ643" s="173"/>
      <c r="BK643" s="173"/>
      <c r="BL643" s="173"/>
      <c r="BM643" s="173"/>
    </row>
    <row r="644" spans="1:65">
      <c r="A644" s="173"/>
      <c r="B644" s="173"/>
      <c r="C644" s="173"/>
      <c r="D644" s="173"/>
      <c r="E644" s="173"/>
      <c r="F644" s="173"/>
      <c r="G644" s="173"/>
      <c r="H644" s="173"/>
      <c r="I644" s="173"/>
      <c r="J644" s="173"/>
      <c r="K644" s="322"/>
      <c r="L644" s="173"/>
      <c r="M644" s="173"/>
      <c r="Q644" s="173"/>
      <c r="R644" s="173"/>
      <c r="S644" s="173"/>
      <c r="T644" s="173"/>
      <c r="U644" s="173"/>
      <c r="V644" s="173"/>
      <c r="W644" s="173"/>
      <c r="X644" s="173"/>
      <c r="Y644" s="173"/>
      <c r="Z644" s="173"/>
      <c r="AA644" s="173"/>
      <c r="AB644" s="173"/>
      <c r="AC644" s="173"/>
      <c r="AD644" s="173"/>
      <c r="AE644" s="173"/>
      <c r="AF644" s="173"/>
      <c r="AG644" s="173"/>
      <c r="AH644" s="173"/>
      <c r="AI644" s="173"/>
      <c r="AJ644" s="173"/>
      <c r="AK644" s="173"/>
      <c r="AL644" s="173"/>
      <c r="AM644" s="173"/>
      <c r="AN644" s="173"/>
      <c r="AO644" s="173"/>
      <c r="AP644" s="173"/>
      <c r="AQ644" s="173"/>
      <c r="AR644" s="173"/>
      <c r="AS644" s="173"/>
      <c r="AT644" s="173"/>
      <c r="AU644" s="173"/>
      <c r="AV644" s="173"/>
      <c r="AW644" s="173"/>
      <c r="AX644" s="173"/>
      <c r="AY644" s="173"/>
      <c r="AZ644" s="173"/>
      <c r="BA644" s="173"/>
      <c r="BB644" s="173"/>
      <c r="BC644" s="173"/>
      <c r="BD644" s="173"/>
      <c r="BE644" s="173"/>
      <c r="BF644" s="173"/>
      <c r="BG644" s="173"/>
      <c r="BH644" s="173"/>
      <c r="BI644" s="173"/>
      <c r="BJ644" s="173"/>
      <c r="BK644" s="173"/>
      <c r="BL644" s="173"/>
      <c r="BM644" s="173"/>
    </row>
    <row r="645" spans="1:65">
      <c r="A645" s="173"/>
      <c r="B645" s="173"/>
      <c r="C645" s="173"/>
      <c r="D645" s="173"/>
      <c r="E645" s="173"/>
      <c r="F645" s="173"/>
      <c r="G645" s="173"/>
      <c r="H645" s="173"/>
      <c r="I645" s="173"/>
      <c r="J645" s="173"/>
      <c r="K645" s="322"/>
      <c r="L645" s="173"/>
      <c r="M645" s="173"/>
      <c r="Q645" s="173"/>
      <c r="R645" s="173"/>
      <c r="S645" s="173"/>
      <c r="T645" s="173"/>
      <c r="U645" s="173"/>
      <c r="V645" s="173"/>
      <c r="W645" s="173"/>
      <c r="X645" s="173"/>
      <c r="Y645" s="173"/>
      <c r="Z645" s="173"/>
      <c r="AA645" s="173"/>
      <c r="AB645" s="173"/>
      <c r="AC645" s="173"/>
      <c r="AD645" s="173"/>
      <c r="AE645" s="173"/>
      <c r="AF645" s="173"/>
      <c r="AG645" s="173"/>
      <c r="AH645" s="173"/>
      <c r="AI645" s="173"/>
      <c r="AJ645" s="173"/>
      <c r="AK645" s="173"/>
      <c r="AL645" s="173"/>
      <c r="AM645" s="173"/>
      <c r="AN645" s="173"/>
      <c r="AO645" s="173"/>
      <c r="AP645" s="173"/>
      <c r="AQ645" s="173"/>
      <c r="AR645" s="173"/>
      <c r="AS645" s="173"/>
      <c r="AT645" s="173"/>
      <c r="AU645" s="173"/>
      <c r="AV645" s="173"/>
      <c r="AW645" s="173"/>
      <c r="AX645" s="173"/>
      <c r="AY645" s="173"/>
      <c r="AZ645" s="173"/>
      <c r="BA645" s="173"/>
      <c r="BB645" s="173"/>
      <c r="BC645" s="173"/>
      <c r="BD645" s="173"/>
      <c r="BE645" s="173"/>
      <c r="BF645" s="173"/>
      <c r="BG645" s="173"/>
      <c r="BH645" s="173"/>
      <c r="BI645" s="173"/>
      <c r="BJ645" s="173"/>
      <c r="BK645" s="173"/>
      <c r="BL645" s="173"/>
      <c r="BM645" s="173"/>
    </row>
    <row r="646" spans="1:65">
      <c r="A646" s="173"/>
      <c r="B646" s="173"/>
      <c r="C646" s="173"/>
      <c r="D646" s="173"/>
      <c r="E646" s="173"/>
      <c r="F646" s="173"/>
      <c r="G646" s="173"/>
      <c r="H646" s="173"/>
      <c r="I646" s="173"/>
      <c r="J646" s="173"/>
      <c r="K646" s="322"/>
      <c r="L646" s="173"/>
      <c r="M646" s="173"/>
      <c r="Q646" s="173"/>
      <c r="R646" s="173"/>
      <c r="S646" s="173"/>
      <c r="T646" s="173"/>
      <c r="U646" s="173"/>
      <c r="V646" s="173"/>
      <c r="W646" s="173"/>
      <c r="X646" s="173"/>
      <c r="Y646" s="173"/>
      <c r="Z646" s="173"/>
      <c r="AA646" s="173"/>
      <c r="AB646" s="173"/>
      <c r="AC646" s="173"/>
      <c r="AD646" s="173"/>
      <c r="AE646" s="173"/>
      <c r="AF646" s="173"/>
      <c r="AG646" s="173"/>
      <c r="AH646" s="173"/>
      <c r="AI646" s="173"/>
      <c r="AJ646" s="173"/>
      <c r="AK646" s="173"/>
      <c r="AL646" s="173"/>
      <c r="AM646" s="173"/>
      <c r="AN646" s="173"/>
      <c r="AO646" s="173"/>
      <c r="AP646" s="173"/>
      <c r="AQ646" s="173"/>
      <c r="AR646" s="173"/>
      <c r="AS646" s="173"/>
      <c r="AT646" s="173"/>
      <c r="AU646" s="173"/>
      <c r="AV646" s="173"/>
      <c r="AW646" s="173"/>
      <c r="AX646" s="173"/>
      <c r="AY646" s="173"/>
      <c r="AZ646" s="173"/>
      <c r="BA646" s="173"/>
      <c r="BB646" s="173"/>
      <c r="BC646" s="173"/>
      <c r="BD646" s="173"/>
      <c r="BE646" s="173"/>
      <c r="BF646" s="173"/>
      <c r="BG646" s="173"/>
      <c r="BH646" s="173"/>
      <c r="BI646" s="173"/>
      <c r="BJ646" s="173"/>
      <c r="BK646" s="173"/>
      <c r="BL646" s="173"/>
      <c r="BM646" s="173"/>
    </row>
    <row r="647" spans="1:65">
      <c r="A647" s="173"/>
      <c r="B647" s="173"/>
      <c r="C647" s="173"/>
      <c r="D647" s="173"/>
      <c r="E647" s="173"/>
      <c r="F647" s="173"/>
      <c r="G647" s="173"/>
      <c r="H647" s="173"/>
      <c r="I647" s="173"/>
      <c r="J647" s="173"/>
      <c r="K647" s="322"/>
      <c r="L647" s="173"/>
      <c r="M647" s="173"/>
      <c r="Q647" s="173"/>
      <c r="R647" s="173"/>
      <c r="S647" s="173"/>
      <c r="T647" s="173"/>
      <c r="U647" s="173"/>
      <c r="V647" s="173"/>
      <c r="W647" s="173"/>
      <c r="X647" s="173"/>
      <c r="Y647" s="173"/>
      <c r="Z647" s="173"/>
      <c r="AA647" s="173"/>
      <c r="AB647" s="173"/>
      <c r="AC647" s="173"/>
      <c r="AD647" s="173"/>
      <c r="AE647" s="173"/>
      <c r="AF647" s="173"/>
      <c r="AG647" s="173"/>
      <c r="AH647" s="173"/>
      <c r="AI647" s="173"/>
      <c r="AJ647" s="173"/>
      <c r="AK647" s="173"/>
      <c r="AL647" s="173"/>
      <c r="AM647" s="173"/>
      <c r="AN647" s="173"/>
      <c r="AO647" s="173"/>
      <c r="AP647" s="173"/>
      <c r="AQ647" s="173"/>
      <c r="AR647" s="173"/>
      <c r="AS647" s="173"/>
      <c r="AT647" s="173"/>
      <c r="AU647" s="173"/>
      <c r="AV647" s="173"/>
      <c r="AW647" s="173"/>
      <c r="AX647" s="173"/>
      <c r="AY647" s="173"/>
      <c r="AZ647" s="173"/>
      <c r="BA647" s="173"/>
      <c r="BB647" s="173"/>
      <c r="BC647" s="173"/>
      <c r="BD647" s="173"/>
      <c r="BE647" s="173"/>
      <c r="BF647" s="173"/>
      <c r="BG647" s="173"/>
      <c r="BH647" s="173"/>
      <c r="BI647" s="173"/>
      <c r="BJ647" s="173"/>
      <c r="BK647" s="173"/>
      <c r="BL647" s="173"/>
      <c r="BM647" s="173"/>
    </row>
    <row r="648" spans="1:65">
      <c r="A648" s="173"/>
      <c r="B648" s="173"/>
      <c r="C648" s="173"/>
      <c r="D648" s="173"/>
      <c r="E648" s="173"/>
      <c r="F648" s="173"/>
      <c r="G648" s="173"/>
      <c r="H648" s="173"/>
      <c r="I648" s="173"/>
      <c r="J648" s="173"/>
      <c r="K648" s="322"/>
      <c r="L648" s="173"/>
      <c r="M648" s="173"/>
      <c r="Q648" s="173"/>
      <c r="R648" s="173"/>
      <c r="S648" s="173"/>
      <c r="T648" s="173"/>
      <c r="U648" s="173"/>
      <c r="V648" s="173"/>
      <c r="W648" s="173"/>
      <c r="X648" s="173"/>
      <c r="Y648" s="173"/>
      <c r="Z648" s="173"/>
      <c r="AA648" s="173"/>
      <c r="AB648" s="173"/>
      <c r="AC648" s="173"/>
      <c r="AD648" s="173"/>
      <c r="AE648" s="173"/>
      <c r="AF648" s="173"/>
      <c r="AG648" s="173"/>
      <c r="AH648" s="173"/>
      <c r="AI648" s="173"/>
      <c r="AJ648" s="173"/>
      <c r="AK648" s="173"/>
      <c r="AL648" s="173"/>
      <c r="AM648" s="173"/>
      <c r="AN648" s="173"/>
      <c r="AO648" s="173"/>
      <c r="AP648" s="173"/>
      <c r="AQ648" s="173"/>
      <c r="AR648" s="173"/>
      <c r="AS648" s="173"/>
      <c r="AT648" s="173"/>
      <c r="AU648" s="173"/>
      <c r="AV648" s="173"/>
      <c r="AW648" s="173"/>
      <c r="AX648" s="173"/>
      <c r="AY648" s="173"/>
      <c r="AZ648" s="173"/>
      <c r="BA648" s="173"/>
      <c r="BB648" s="173"/>
      <c r="BC648" s="173"/>
      <c r="BD648" s="173"/>
      <c r="BE648" s="173"/>
      <c r="BF648" s="173"/>
      <c r="BG648" s="173"/>
      <c r="BH648" s="173"/>
      <c r="BI648" s="173"/>
      <c r="BJ648" s="173"/>
      <c r="BK648" s="173"/>
      <c r="BL648" s="173"/>
      <c r="BM648" s="173"/>
    </row>
    <row r="649" spans="1:65">
      <c r="A649" s="173"/>
      <c r="B649" s="173"/>
      <c r="C649" s="173"/>
      <c r="D649" s="173"/>
      <c r="E649" s="173"/>
      <c r="F649" s="173"/>
      <c r="G649" s="173"/>
      <c r="H649" s="173"/>
      <c r="I649" s="173"/>
      <c r="J649" s="173"/>
      <c r="K649" s="322"/>
      <c r="L649" s="173"/>
      <c r="M649" s="173"/>
      <c r="Q649" s="173"/>
      <c r="R649" s="173"/>
      <c r="S649" s="173"/>
      <c r="T649" s="173"/>
      <c r="U649" s="173"/>
      <c r="V649" s="173"/>
      <c r="W649" s="173"/>
      <c r="X649" s="173"/>
      <c r="Y649" s="173"/>
      <c r="Z649" s="173"/>
      <c r="AA649" s="173"/>
      <c r="AB649" s="173"/>
      <c r="AC649" s="173"/>
      <c r="AD649" s="173"/>
      <c r="AE649" s="173"/>
      <c r="AF649" s="173"/>
      <c r="AG649" s="173"/>
      <c r="AH649" s="173"/>
      <c r="AI649" s="173"/>
      <c r="AJ649" s="173"/>
      <c r="AK649" s="173"/>
      <c r="AL649" s="173"/>
      <c r="AM649" s="173"/>
      <c r="AN649" s="173"/>
      <c r="AO649" s="173"/>
      <c r="AP649" s="173"/>
      <c r="AQ649" s="173"/>
      <c r="AR649" s="173"/>
      <c r="AS649" s="173"/>
      <c r="AT649" s="173"/>
      <c r="AU649" s="173"/>
      <c r="AV649" s="173"/>
      <c r="AW649" s="173"/>
      <c r="AX649" s="173"/>
      <c r="AY649" s="173"/>
      <c r="AZ649" s="173"/>
      <c r="BA649" s="173"/>
      <c r="BB649" s="173"/>
      <c r="BC649" s="173"/>
      <c r="BD649" s="173"/>
      <c r="BE649" s="173"/>
      <c r="BF649" s="173"/>
      <c r="BG649" s="173"/>
      <c r="BH649" s="173"/>
      <c r="BI649" s="173"/>
      <c r="BJ649" s="173"/>
      <c r="BK649" s="173"/>
      <c r="BL649" s="173"/>
      <c r="BM649" s="173"/>
    </row>
    <row r="650" spans="1:65">
      <c r="A650" s="173"/>
      <c r="B650" s="173"/>
      <c r="C650" s="173"/>
      <c r="D650" s="173"/>
      <c r="E650" s="173"/>
      <c r="F650" s="173"/>
      <c r="G650" s="173"/>
      <c r="H650" s="173"/>
      <c r="I650" s="173"/>
      <c r="J650" s="173"/>
      <c r="K650" s="322"/>
      <c r="L650" s="173"/>
      <c r="M650" s="173"/>
      <c r="Q650" s="173"/>
      <c r="R650" s="173"/>
      <c r="S650" s="173"/>
      <c r="T650" s="173"/>
      <c r="U650" s="173"/>
      <c r="V650" s="173"/>
      <c r="W650" s="173"/>
      <c r="X650" s="173"/>
      <c r="Y650" s="173"/>
      <c r="Z650" s="173"/>
      <c r="AA650" s="173"/>
      <c r="AB650" s="173"/>
      <c r="AC650" s="173"/>
      <c r="AD650" s="173"/>
      <c r="AE650" s="173"/>
      <c r="AF650" s="173"/>
      <c r="AG650" s="173"/>
      <c r="AH650" s="173"/>
      <c r="AI650" s="173"/>
      <c r="AJ650" s="173"/>
      <c r="AK650" s="173"/>
      <c r="AL650" s="173"/>
      <c r="AM650" s="173"/>
      <c r="AN650" s="173"/>
      <c r="AO650" s="173"/>
      <c r="AP650" s="173"/>
      <c r="AQ650" s="173"/>
      <c r="AR650" s="173"/>
      <c r="AS650" s="173"/>
      <c r="AT650" s="173"/>
      <c r="AU650" s="173"/>
      <c r="AV650" s="173"/>
      <c r="AW650" s="173"/>
      <c r="AX650" s="173"/>
      <c r="AY650" s="173"/>
      <c r="AZ650" s="173"/>
      <c r="BA650" s="173"/>
      <c r="BB650" s="173"/>
      <c r="BC650" s="173"/>
      <c r="BD650" s="173"/>
      <c r="BE650" s="173"/>
      <c r="BF650" s="173"/>
      <c r="BG650" s="173"/>
      <c r="BH650" s="173"/>
      <c r="BI650" s="173"/>
      <c r="BJ650" s="173"/>
      <c r="BK650" s="173"/>
      <c r="BL650" s="173"/>
      <c r="BM650" s="173"/>
    </row>
    <row r="651" spans="1:65">
      <c r="A651" s="173"/>
      <c r="B651" s="173"/>
      <c r="C651" s="173"/>
      <c r="D651" s="173"/>
      <c r="E651" s="173"/>
      <c r="F651" s="173"/>
      <c r="G651" s="173"/>
      <c r="H651" s="173"/>
      <c r="I651" s="173"/>
      <c r="J651" s="173"/>
      <c r="K651" s="322"/>
      <c r="L651" s="173"/>
      <c r="M651" s="173"/>
      <c r="Q651" s="173"/>
      <c r="R651" s="173"/>
      <c r="S651" s="173"/>
      <c r="T651" s="173"/>
      <c r="U651" s="173"/>
      <c r="V651" s="173"/>
      <c r="W651" s="173"/>
      <c r="X651" s="173"/>
      <c r="Y651" s="173"/>
      <c r="Z651" s="173"/>
      <c r="AA651" s="173"/>
      <c r="AB651" s="173"/>
      <c r="AC651" s="173"/>
      <c r="AD651" s="173"/>
      <c r="AE651" s="173"/>
      <c r="AF651" s="173"/>
      <c r="AG651" s="173"/>
      <c r="AH651" s="173"/>
      <c r="AI651" s="173"/>
      <c r="AJ651" s="173"/>
      <c r="AK651" s="173"/>
      <c r="AL651" s="173"/>
      <c r="AM651" s="173"/>
      <c r="AN651" s="173"/>
      <c r="AO651" s="173"/>
      <c r="AP651" s="173"/>
      <c r="AQ651" s="173"/>
      <c r="AR651" s="173"/>
      <c r="AS651" s="173"/>
      <c r="AT651" s="173"/>
      <c r="AU651" s="173"/>
      <c r="AV651" s="173"/>
      <c r="AW651" s="173"/>
      <c r="AX651" s="173"/>
      <c r="AY651" s="173"/>
      <c r="AZ651" s="173"/>
      <c r="BA651" s="173"/>
      <c r="BB651" s="173"/>
      <c r="BC651" s="173"/>
      <c r="BD651" s="173"/>
      <c r="BE651" s="173"/>
      <c r="BF651" s="173"/>
      <c r="BG651" s="173"/>
      <c r="BH651" s="173"/>
      <c r="BI651" s="173"/>
      <c r="BJ651" s="173"/>
      <c r="BK651" s="173"/>
      <c r="BL651" s="173"/>
      <c r="BM651" s="173"/>
    </row>
    <row r="652" spans="1:65">
      <c r="A652" s="173"/>
      <c r="B652" s="173"/>
      <c r="C652" s="173"/>
      <c r="D652" s="173"/>
      <c r="E652" s="173"/>
      <c r="F652" s="173"/>
      <c r="G652" s="173"/>
      <c r="H652" s="173"/>
      <c r="I652" s="173"/>
      <c r="J652" s="173"/>
      <c r="K652" s="322"/>
      <c r="L652" s="173"/>
      <c r="M652" s="173"/>
      <c r="Q652" s="173"/>
      <c r="R652" s="173"/>
      <c r="S652" s="173"/>
      <c r="T652" s="173"/>
      <c r="U652" s="173"/>
      <c r="V652" s="173"/>
      <c r="W652" s="173"/>
      <c r="X652" s="173"/>
      <c r="Y652" s="173"/>
      <c r="Z652" s="173"/>
      <c r="AA652" s="173"/>
      <c r="AB652" s="173"/>
      <c r="AC652" s="173"/>
      <c r="AD652" s="173"/>
      <c r="AE652" s="173"/>
      <c r="AF652" s="173"/>
      <c r="AG652" s="173"/>
      <c r="AH652" s="173"/>
      <c r="AI652" s="173"/>
      <c r="AJ652" s="173"/>
      <c r="AK652" s="173"/>
      <c r="AL652" s="173"/>
      <c r="AM652" s="173"/>
      <c r="AN652" s="173"/>
      <c r="AO652" s="173"/>
      <c r="AP652" s="173"/>
      <c r="AQ652" s="173"/>
      <c r="AR652" s="173"/>
      <c r="AS652" s="173"/>
      <c r="AT652" s="173"/>
      <c r="AU652" s="173"/>
      <c r="AV652" s="173"/>
      <c r="AW652" s="173"/>
      <c r="AX652" s="173"/>
      <c r="AY652" s="173"/>
      <c r="AZ652" s="173"/>
      <c r="BA652" s="173"/>
      <c r="BB652" s="173"/>
      <c r="BC652" s="173"/>
      <c r="BD652" s="173"/>
      <c r="BE652" s="173"/>
      <c r="BF652" s="173"/>
      <c r="BG652" s="173"/>
      <c r="BH652" s="173"/>
      <c r="BI652" s="173"/>
      <c r="BJ652" s="173"/>
      <c r="BK652" s="173"/>
      <c r="BL652" s="173"/>
      <c r="BM652" s="173"/>
    </row>
    <row r="653" spans="1:65">
      <c r="A653" s="173"/>
      <c r="B653" s="173"/>
      <c r="C653" s="173"/>
      <c r="D653" s="173"/>
      <c r="E653" s="173"/>
      <c r="F653" s="173"/>
      <c r="G653" s="173"/>
      <c r="H653" s="173"/>
      <c r="I653" s="173"/>
      <c r="J653" s="173"/>
      <c r="K653" s="322"/>
      <c r="L653" s="173"/>
      <c r="M653" s="173"/>
      <c r="Q653" s="173"/>
      <c r="R653" s="173"/>
      <c r="S653" s="173"/>
      <c r="T653" s="173"/>
      <c r="U653" s="173"/>
      <c r="V653" s="173"/>
      <c r="W653" s="173"/>
      <c r="X653" s="173"/>
      <c r="Y653" s="173"/>
      <c r="Z653" s="173"/>
      <c r="AA653" s="173"/>
      <c r="AB653" s="173"/>
      <c r="AC653" s="173"/>
      <c r="AD653" s="173"/>
      <c r="AE653" s="173"/>
      <c r="AF653" s="173"/>
      <c r="AG653" s="173"/>
      <c r="AH653" s="173"/>
      <c r="AI653" s="173"/>
      <c r="AJ653" s="173"/>
      <c r="AK653" s="173"/>
      <c r="AL653" s="173"/>
      <c r="AM653" s="173"/>
      <c r="AN653" s="173"/>
      <c r="AO653" s="173"/>
      <c r="AP653" s="173"/>
      <c r="AQ653" s="173"/>
      <c r="AR653" s="173"/>
      <c r="AS653" s="173"/>
      <c r="AT653" s="173"/>
      <c r="AU653" s="173"/>
      <c r="AV653" s="173"/>
      <c r="AW653" s="173"/>
      <c r="AX653" s="173"/>
      <c r="AY653" s="173"/>
      <c r="AZ653" s="173"/>
      <c r="BA653" s="173"/>
      <c r="BB653" s="173"/>
      <c r="BC653" s="173"/>
      <c r="BD653" s="173"/>
      <c r="BE653" s="173"/>
      <c r="BF653" s="173"/>
      <c r="BG653" s="173"/>
      <c r="BH653" s="173"/>
      <c r="BI653" s="173"/>
      <c r="BJ653" s="173"/>
      <c r="BK653" s="173"/>
      <c r="BL653" s="173"/>
      <c r="BM653" s="173"/>
    </row>
    <row r="654" spans="1:65">
      <c r="A654" s="173"/>
      <c r="B654" s="173"/>
      <c r="C654" s="173"/>
      <c r="D654" s="173"/>
      <c r="E654" s="173"/>
      <c r="F654" s="173"/>
      <c r="G654" s="173"/>
      <c r="H654" s="173"/>
      <c r="I654" s="173"/>
      <c r="J654" s="173"/>
      <c r="K654" s="322"/>
      <c r="L654" s="173"/>
      <c r="M654" s="173"/>
      <c r="Q654" s="173"/>
      <c r="R654" s="173"/>
      <c r="S654" s="173"/>
      <c r="T654" s="173"/>
      <c r="U654" s="173"/>
      <c r="V654" s="173"/>
      <c r="W654" s="173"/>
      <c r="X654" s="173"/>
      <c r="Y654" s="173"/>
      <c r="Z654" s="173"/>
      <c r="AA654" s="173"/>
      <c r="AB654" s="173"/>
      <c r="AC654" s="173"/>
      <c r="AD654" s="173"/>
      <c r="AE654" s="173"/>
      <c r="AF654" s="173"/>
      <c r="AG654" s="173"/>
      <c r="AH654" s="173"/>
      <c r="AI654" s="173"/>
      <c r="AJ654" s="173"/>
      <c r="AK654" s="173"/>
      <c r="AL654" s="173"/>
      <c r="AM654" s="173"/>
      <c r="AN654" s="173"/>
      <c r="AO654" s="173"/>
      <c r="AP654" s="173"/>
      <c r="AQ654" s="173"/>
      <c r="AR654" s="173"/>
      <c r="AS654" s="173"/>
      <c r="AT654" s="173"/>
      <c r="AU654" s="173"/>
      <c r="AV654" s="173"/>
      <c r="AW654" s="173"/>
      <c r="AX654" s="173"/>
      <c r="AY654" s="173"/>
      <c r="AZ654" s="173"/>
      <c r="BA654" s="173"/>
      <c r="BB654" s="173"/>
      <c r="BC654" s="173"/>
      <c r="BD654" s="173"/>
      <c r="BE654" s="173"/>
      <c r="BF654" s="173"/>
      <c r="BG654" s="173"/>
      <c r="BH654" s="173"/>
      <c r="BI654" s="173"/>
      <c r="BJ654" s="173"/>
      <c r="BK654" s="173"/>
      <c r="BL654" s="173"/>
      <c r="BM654" s="173"/>
    </row>
    <row r="655" spans="1:65">
      <c r="A655" s="173"/>
      <c r="B655" s="173"/>
      <c r="C655" s="173"/>
      <c r="D655" s="173"/>
      <c r="E655" s="173"/>
      <c r="F655" s="173"/>
      <c r="G655" s="173"/>
      <c r="H655" s="173"/>
      <c r="I655" s="173"/>
      <c r="J655" s="173"/>
      <c r="K655" s="322"/>
      <c r="L655" s="173"/>
      <c r="M655" s="173"/>
      <c r="Q655" s="173"/>
      <c r="R655" s="173"/>
      <c r="S655" s="173"/>
      <c r="T655" s="173"/>
      <c r="U655" s="173"/>
      <c r="V655" s="173"/>
      <c r="W655" s="173"/>
      <c r="X655" s="173"/>
      <c r="Y655" s="173"/>
      <c r="Z655" s="173"/>
      <c r="AA655" s="173"/>
      <c r="AB655" s="173"/>
      <c r="AC655" s="173"/>
      <c r="AD655" s="173"/>
      <c r="AE655" s="173"/>
      <c r="AF655" s="173"/>
      <c r="AG655" s="173"/>
      <c r="AH655" s="173"/>
      <c r="AI655" s="173"/>
      <c r="AJ655" s="173"/>
      <c r="AK655" s="173"/>
      <c r="AL655" s="173"/>
      <c r="AM655" s="173"/>
      <c r="AN655" s="173"/>
      <c r="AO655" s="173"/>
      <c r="AP655" s="173"/>
      <c r="AQ655" s="173"/>
      <c r="AR655" s="173"/>
      <c r="AS655" s="173"/>
      <c r="AT655" s="173"/>
      <c r="AU655" s="173"/>
      <c r="AV655" s="173"/>
      <c r="AW655" s="173"/>
      <c r="AX655" s="173"/>
      <c r="AY655" s="173"/>
      <c r="AZ655" s="173"/>
      <c r="BA655" s="173"/>
      <c r="BB655" s="173"/>
      <c r="BC655" s="173"/>
      <c r="BD655" s="173"/>
      <c r="BE655" s="173"/>
      <c r="BF655" s="173"/>
      <c r="BG655" s="173"/>
      <c r="BH655" s="173"/>
      <c r="BI655" s="173"/>
      <c r="BJ655" s="173"/>
      <c r="BK655" s="173"/>
      <c r="BL655" s="173"/>
      <c r="BM655" s="173"/>
    </row>
    <row r="656" spans="1:65">
      <c r="A656" s="173"/>
      <c r="B656" s="173"/>
      <c r="C656" s="173"/>
      <c r="D656" s="173"/>
      <c r="E656" s="173"/>
      <c r="F656" s="173"/>
      <c r="G656" s="173"/>
      <c r="H656" s="173"/>
      <c r="I656" s="173"/>
      <c r="J656" s="173"/>
      <c r="K656" s="322"/>
      <c r="L656" s="173"/>
      <c r="M656" s="173"/>
      <c r="Q656" s="173"/>
      <c r="R656" s="173"/>
      <c r="S656" s="173"/>
      <c r="T656" s="173"/>
      <c r="U656" s="173"/>
      <c r="V656" s="173"/>
      <c r="W656" s="173"/>
      <c r="X656" s="173"/>
      <c r="Y656" s="173"/>
      <c r="Z656" s="173"/>
      <c r="AA656" s="173"/>
      <c r="AB656" s="173"/>
      <c r="AC656" s="173"/>
      <c r="AD656" s="173"/>
      <c r="AE656" s="173"/>
      <c r="AF656" s="173"/>
      <c r="AG656" s="173"/>
      <c r="AH656" s="173"/>
      <c r="AI656" s="173"/>
      <c r="AJ656" s="173"/>
      <c r="AK656" s="173"/>
      <c r="AL656" s="173"/>
      <c r="AM656" s="173"/>
      <c r="AN656" s="173"/>
      <c r="AO656" s="173"/>
      <c r="AP656" s="173"/>
      <c r="AQ656" s="173"/>
      <c r="AR656" s="173"/>
      <c r="AS656" s="173"/>
      <c r="AT656" s="173"/>
      <c r="AU656" s="173"/>
      <c r="AV656" s="173"/>
      <c r="AW656" s="173"/>
      <c r="AX656" s="173"/>
      <c r="AY656" s="173"/>
      <c r="AZ656" s="173"/>
      <c r="BA656" s="173"/>
      <c r="BB656" s="173"/>
      <c r="BC656" s="173"/>
      <c r="BD656" s="173"/>
      <c r="BE656" s="173"/>
      <c r="BF656" s="173"/>
      <c r="BG656" s="173"/>
      <c r="BH656" s="173"/>
      <c r="BI656" s="173"/>
      <c r="BJ656" s="173"/>
      <c r="BK656" s="173"/>
      <c r="BL656" s="173"/>
      <c r="BM656" s="173"/>
    </row>
    <row r="657" spans="1:65">
      <c r="A657" s="173"/>
      <c r="B657" s="173"/>
      <c r="C657" s="173"/>
      <c r="D657" s="173"/>
      <c r="E657" s="173"/>
      <c r="F657" s="173"/>
      <c r="G657" s="173"/>
      <c r="H657" s="173"/>
      <c r="I657" s="173"/>
      <c r="J657" s="173"/>
      <c r="K657" s="322"/>
      <c r="L657" s="173"/>
      <c r="M657" s="173"/>
      <c r="Q657" s="173"/>
      <c r="R657" s="173"/>
      <c r="S657" s="173"/>
      <c r="T657" s="173"/>
      <c r="U657" s="173"/>
      <c r="V657" s="173"/>
      <c r="W657" s="173"/>
      <c r="X657" s="173"/>
      <c r="Y657" s="173"/>
      <c r="Z657" s="173"/>
      <c r="AA657" s="173"/>
      <c r="AB657" s="173"/>
      <c r="AC657" s="173"/>
      <c r="AD657" s="173"/>
      <c r="AE657" s="173"/>
      <c r="AF657" s="173"/>
      <c r="AG657" s="173"/>
      <c r="AH657" s="173"/>
      <c r="AI657" s="173"/>
      <c r="AJ657" s="173"/>
      <c r="AK657" s="173"/>
      <c r="AL657" s="173"/>
      <c r="AM657" s="173"/>
      <c r="AN657" s="173"/>
      <c r="AO657" s="173"/>
      <c r="AP657" s="173"/>
      <c r="AQ657" s="173"/>
      <c r="AR657" s="173"/>
      <c r="AS657" s="173"/>
      <c r="AT657" s="173"/>
      <c r="AU657" s="173"/>
      <c r="AV657" s="173"/>
      <c r="AW657" s="173"/>
      <c r="AX657" s="173"/>
      <c r="AY657" s="173"/>
      <c r="AZ657" s="173"/>
      <c r="BA657" s="173"/>
      <c r="BB657" s="173"/>
      <c r="BC657" s="173"/>
      <c r="BD657" s="173"/>
      <c r="BE657" s="173"/>
      <c r="BF657" s="173"/>
      <c r="BG657" s="173"/>
      <c r="BH657" s="173"/>
      <c r="BI657" s="173"/>
      <c r="BJ657" s="173"/>
      <c r="BK657" s="173"/>
      <c r="BL657" s="173"/>
      <c r="BM657" s="173"/>
    </row>
    <row r="658" spans="1:65">
      <c r="A658" s="173"/>
      <c r="B658" s="173"/>
      <c r="C658" s="173"/>
      <c r="D658" s="173"/>
      <c r="E658" s="173"/>
      <c r="F658" s="173"/>
      <c r="G658" s="173"/>
      <c r="H658" s="173"/>
      <c r="I658" s="173"/>
      <c r="J658" s="173"/>
      <c r="K658" s="322"/>
      <c r="L658" s="173"/>
      <c r="M658" s="173"/>
      <c r="Q658" s="173"/>
      <c r="R658" s="173"/>
      <c r="S658" s="173"/>
      <c r="T658" s="173"/>
      <c r="U658" s="173"/>
      <c r="V658" s="173"/>
      <c r="W658" s="173"/>
      <c r="X658" s="173"/>
      <c r="Y658" s="173"/>
      <c r="Z658" s="173"/>
      <c r="AA658" s="173"/>
      <c r="AB658" s="173"/>
      <c r="AC658" s="173"/>
      <c r="AD658" s="173"/>
      <c r="AE658" s="173"/>
      <c r="AF658" s="173"/>
      <c r="AG658" s="173"/>
      <c r="AH658" s="173"/>
      <c r="AI658" s="173"/>
      <c r="AJ658" s="173"/>
      <c r="AK658" s="173"/>
      <c r="AL658" s="173"/>
      <c r="AM658" s="173"/>
      <c r="AN658" s="173"/>
      <c r="AO658" s="173"/>
      <c r="AP658" s="173"/>
      <c r="AQ658" s="173"/>
      <c r="AR658" s="173"/>
      <c r="AS658" s="173"/>
      <c r="AT658" s="173"/>
      <c r="AU658" s="173"/>
      <c r="AV658" s="173"/>
      <c r="AW658" s="173"/>
      <c r="AX658" s="173"/>
      <c r="AY658" s="173"/>
      <c r="AZ658" s="173"/>
      <c r="BA658" s="173"/>
      <c r="BB658" s="173"/>
      <c r="BC658" s="173"/>
      <c r="BD658" s="173"/>
      <c r="BE658" s="173"/>
      <c r="BF658" s="173"/>
      <c r="BG658" s="173"/>
      <c r="BH658" s="173"/>
      <c r="BI658" s="173"/>
      <c r="BJ658" s="173"/>
      <c r="BK658" s="173"/>
      <c r="BL658" s="173"/>
      <c r="BM658" s="173"/>
    </row>
    <row r="659" spans="1:65">
      <c r="A659" s="173"/>
      <c r="B659" s="173"/>
      <c r="C659" s="173"/>
      <c r="D659" s="173"/>
      <c r="E659" s="173"/>
      <c r="F659" s="173"/>
      <c r="G659" s="173"/>
      <c r="H659" s="173"/>
      <c r="I659" s="173"/>
      <c r="J659" s="173"/>
      <c r="K659" s="322"/>
      <c r="L659" s="173"/>
      <c r="M659" s="173"/>
      <c r="Q659" s="173"/>
      <c r="R659" s="173"/>
      <c r="S659" s="173"/>
      <c r="T659" s="173"/>
      <c r="U659" s="173"/>
      <c r="V659" s="173"/>
      <c r="W659" s="173"/>
      <c r="X659" s="173"/>
      <c r="Y659" s="173"/>
      <c r="Z659" s="173"/>
      <c r="AA659" s="173"/>
      <c r="AB659" s="173"/>
      <c r="AC659" s="173"/>
      <c r="AD659" s="173"/>
      <c r="AE659" s="173"/>
      <c r="AF659" s="173"/>
      <c r="AG659" s="173"/>
      <c r="AH659" s="173"/>
      <c r="AI659" s="173"/>
      <c r="AJ659" s="173"/>
      <c r="AK659" s="173"/>
      <c r="AL659" s="173"/>
      <c r="AM659" s="173"/>
      <c r="AN659" s="173"/>
      <c r="AO659" s="173"/>
      <c r="AP659" s="173"/>
      <c r="AQ659" s="173"/>
      <c r="AR659" s="173"/>
      <c r="AS659" s="173"/>
      <c r="AT659" s="173"/>
      <c r="AU659" s="173"/>
      <c r="AV659" s="173"/>
      <c r="AW659" s="173"/>
      <c r="AX659" s="173"/>
      <c r="AY659" s="173"/>
      <c r="AZ659" s="173"/>
      <c r="BA659" s="173"/>
      <c r="BB659" s="173"/>
      <c r="BC659" s="173"/>
      <c r="BD659" s="173"/>
      <c r="BE659" s="173"/>
      <c r="BF659" s="173"/>
      <c r="BG659" s="173"/>
      <c r="BH659" s="173"/>
      <c r="BI659" s="173"/>
      <c r="BJ659" s="173"/>
      <c r="BK659" s="173"/>
      <c r="BL659" s="173"/>
      <c r="BM659" s="173"/>
    </row>
    <row r="660" spans="1:65">
      <c r="A660" s="173"/>
      <c r="B660" s="173"/>
      <c r="C660" s="173"/>
      <c r="D660" s="173"/>
      <c r="E660" s="173"/>
      <c r="F660" s="173"/>
      <c r="G660" s="173"/>
      <c r="H660" s="173"/>
      <c r="I660" s="173"/>
      <c r="J660" s="173"/>
      <c r="K660" s="322"/>
      <c r="L660" s="173"/>
      <c r="M660" s="173"/>
      <c r="Q660" s="173"/>
      <c r="R660" s="173"/>
      <c r="S660" s="173"/>
      <c r="T660" s="173"/>
      <c r="U660" s="173"/>
      <c r="V660" s="173"/>
      <c r="W660" s="173"/>
      <c r="X660" s="173"/>
      <c r="Y660" s="173"/>
      <c r="Z660" s="173"/>
      <c r="AA660" s="173"/>
      <c r="AB660" s="173"/>
      <c r="AC660" s="173"/>
      <c r="AD660" s="173"/>
      <c r="AE660" s="173"/>
      <c r="AF660" s="173"/>
      <c r="AG660" s="173"/>
      <c r="AH660" s="173"/>
      <c r="AI660" s="173"/>
      <c r="AJ660" s="173"/>
      <c r="AK660" s="173"/>
      <c r="AL660" s="173"/>
      <c r="AM660" s="173"/>
      <c r="AN660" s="173"/>
      <c r="AO660" s="173"/>
      <c r="AP660" s="173"/>
      <c r="AQ660" s="173"/>
      <c r="AR660" s="173"/>
      <c r="AS660" s="173"/>
      <c r="AT660" s="173"/>
      <c r="AU660" s="173"/>
      <c r="AV660" s="173"/>
      <c r="AW660" s="173"/>
      <c r="AX660" s="173"/>
      <c r="AY660" s="173"/>
      <c r="AZ660" s="173"/>
      <c r="BA660" s="173"/>
      <c r="BB660" s="173"/>
      <c r="BC660" s="173"/>
      <c r="BD660" s="173"/>
      <c r="BE660" s="173"/>
      <c r="BF660" s="173"/>
      <c r="BG660" s="173"/>
      <c r="BH660" s="173"/>
      <c r="BI660" s="173"/>
      <c r="BJ660" s="173"/>
      <c r="BK660" s="173"/>
      <c r="BL660" s="173"/>
      <c r="BM660" s="173"/>
    </row>
    <row r="661" spans="1:65">
      <c r="A661" s="173"/>
      <c r="B661" s="173"/>
      <c r="C661" s="173"/>
      <c r="D661" s="173"/>
      <c r="E661" s="173"/>
      <c r="F661" s="173"/>
      <c r="G661" s="173"/>
      <c r="H661" s="173"/>
      <c r="I661" s="173"/>
      <c r="J661" s="173"/>
      <c r="K661" s="322"/>
      <c r="L661" s="173"/>
      <c r="M661" s="173"/>
      <c r="Q661" s="173"/>
      <c r="R661" s="173"/>
      <c r="S661" s="173"/>
      <c r="T661" s="173"/>
      <c r="U661" s="173"/>
      <c r="V661" s="173"/>
      <c r="W661" s="173"/>
      <c r="X661" s="173"/>
      <c r="Y661" s="173"/>
      <c r="Z661" s="173"/>
      <c r="AA661" s="173"/>
      <c r="AB661" s="173"/>
      <c r="AC661" s="173"/>
      <c r="AD661" s="173"/>
      <c r="AE661" s="173"/>
      <c r="AF661" s="173"/>
      <c r="AG661" s="173"/>
      <c r="AH661" s="173"/>
      <c r="AI661" s="173"/>
      <c r="AJ661" s="173"/>
      <c r="AK661" s="173"/>
      <c r="AL661" s="173"/>
      <c r="AM661" s="173"/>
      <c r="AN661" s="173"/>
      <c r="AO661" s="173"/>
      <c r="AP661" s="173"/>
      <c r="AQ661" s="173"/>
      <c r="AR661" s="173"/>
      <c r="AS661" s="173"/>
      <c r="AT661" s="173"/>
      <c r="AU661" s="173"/>
      <c r="AV661" s="173"/>
      <c r="AW661" s="173"/>
      <c r="AX661" s="173"/>
      <c r="AY661" s="173"/>
      <c r="AZ661" s="173"/>
      <c r="BA661" s="173"/>
      <c r="BB661" s="173"/>
      <c r="BC661" s="173"/>
      <c r="BD661" s="173"/>
      <c r="BE661" s="173"/>
      <c r="BF661" s="173"/>
      <c r="BG661" s="173"/>
      <c r="BH661" s="173"/>
      <c r="BI661" s="173"/>
      <c r="BJ661" s="173"/>
      <c r="BK661" s="173"/>
      <c r="BL661" s="173"/>
      <c r="BM661" s="173"/>
    </row>
    <row r="662" spans="1:65">
      <c r="A662" s="173"/>
      <c r="B662" s="173"/>
      <c r="C662" s="173"/>
      <c r="D662" s="173"/>
      <c r="E662" s="173"/>
      <c r="F662" s="173"/>
      <c r="G662" s="173"/>
      <c r="H662" s="173"/>
      <c r="I662" s="173"/>
      <c r="J662" s="173"/>
      <c r="K662" s="322"/>
      <c r="L662" s="173"/>
      <c r="M662" s="173"/>
      <c r="Q662" s="173"/>
      <c r="R662" s="173"/>
      <c r="S662" s="173"/>
      <c r="T662" s="173"/>
      <c r="U662" s="173"/>
      <c r="V662" s="173"/>
      <c r="W662" s="173"/>
      <c r="X662" s="173"/>
      <c r="Y662" s="173"/>
      <c r="Z662" s="173"/>
      <c r="AA662" s="173"/>
      <c r="AB662" s="173"/>
      <c r="AC662" s="173"/>
      <c r="AD662" s="173"/>
      <c r="AE662" s="173"/>
      <c r="AF662" s="173"/>
      <c r="AG662" s="173"/>
      <c r="AH662" s="173"/>
      <c r="AI662" s="173"/>
      <c r="AJ662" s="173"/>
      <c r="AK662" s="173"/>
      <c r="AL662" s="173"/>
      <c r="AM662" s="173"/>
      <c r="AN662" s="173"/>
      <c r="AO662" s="173"/>
      <c r="AP662" s="173"/>
      <c r="AQ662" s="173"/>
      <c r="AR662" s="173"/>
      <c r="AS662" s="173"/>
      <c r="AT662" s="173"/>
      <c r="AU662" s="173"/>
      <c r="AV662" s="173"/>
      <c r="AW662" s="173"/>
      <c r="AX662" s="173"/>
      <c r="AY662" s="173"/>
      <c r="AZ662" s="173"/>
      <c r="BA662" s="173"/>
      <c r="BB662" s="173"/>
      <c r="BC662" s="173"/>
      <c r="BD662" s="173"/>
      <c r="BE662" s="173"/>
      <c r="BF662" s="173"/>
      <c r="BG662" s="173"/>
      <c r="BH662" s="173"/>
      <c r="BI662" s="173"/>
      <c r="BJ662" s="173"/>
      <c r="BK662" s="173"/>
      <c r="BL662" s="173"/>
      <c r="BM662" s="173"/>
    </row>
    <row r="663" spans="1:65">
      <c r="A663" s="173"/>
      <c r="B663" s="173"/>
      <c r="C663" s="173"/>
      <c r="D663" s="173"/>
      <c r="E663" s="173"/>
      <c r="F663" s="173"/>
      <c r="G663" s="173"/>
      <c r="H663" s="173"/>
      <c r="I663" s="173"/>
      <c r="J663" s="173"/>
      <c r="K663" s="322"/>
      <c r="L663" s="173"/>
      <c r="M663" s="173"/>
      <c r="Q663" s="173"/>
      <c r="R663" s="173"/>
      <c r="S663" s="173"/>
      <c r="T663" s="173"/>
      <c r="U663" s="173"/>
      <c r="V663" s="173"/>
      <c r="W663" s="173"/>
      <c r="X663" s="173"/>
      <c r="Y663" s="173"/>
      <c r="Z663" s="173"/>
      <c r="AA663" s="173"/>
      <c r="AB663" s="173"/>
      <c r="AC663" s="173"/>
      <c r="AD663" s="173"/>
      <c r="AE663" s="173"/>
      <c r="AF663" s="173"/>
      <c r="AG663" s="173"/>
      <c r="AH663" s="173"/>
      <c r="AI663" s="173"/>
      <c r="AJ663" s="173"/>
      <c r="AK663" s="173"/>
      <c r="AL663" s="173"/>
      <c r="AM663" s="173"/>
      <c r="AN663" s="173"/>
      <c r="AO663" s="173"/>
      <c r="AP663" s="173"/>
      <c r="AQ663" s="173"/>
      <c r="AR663" s="173"/>
      <c r="AS663" s="173"/>
      <c r="AT663" s="173"/>
      <c r="AU663" s="173"/>
      <c r="AV663" s="173"/>
      <c r="AW663" s="173"/>
      <c r="AX663" s="173"/>
      <c r="AY663" s="173"/>
      <c r="AZ663" s="173"/>
      <c r="BA663" s="173"/>
      <c r="BB663" s="173"/>
      <c r="BC663" s="173"/>
      <c r="BD663" s="173"/>
      <c r="BE663" s="173"/>
      <c r="BF663" s="173"/>
      <c r="BG663" s="173"/>
      <c r="BH663" s="173"/>
      <c r="BI663" s="173"/>
      <c r="BJ663" s="173"/>
      <c r="BK663" s="173"/>
      <c r="BL663" s="173"/>
      <c r="BM663" s="173"/>
    </row>
    <row r="664" spans="1:65">
      <c r="A664" s="173"/>
      <c r="B664" s="173"/>
      <c r="C664" s="173"/>
      <c r="D664" s="173"/>
      <c r="E664" s="173"/>
      <c r="F664" s="173"/>
      <c r="G664" s="173"/>
      <c r="H664" s="173"/>
      <c r="I664" s="173"/>
      <c r="J664" s="173"/>
      <c r="K664" s="322"/>
      <c r="L664" s="173"/>
      <c r="M664" s="173"/>
      <c r="Q664" s="173"/>
      <c r="R664" s="173"/>
      <c r="S664" s="173"/>
      <c r="T664" s="173"/>
      <c r="U664" s="173"/>
      <c r="V664" s="173"/>
      <c r="W664" s="173"/>
      <c r="X664" s="173"/>
      <c r="Y664" s="173"/>
      <c r="Z664" s="173"/>
      <c r="AA664" s="173"/>
      <c r="AB664" s="173"/>
      <c r="AC664" s="173"/>
      <c r="AD664" s="173"/>
      <c r="AE664" s="173"/>
      <c r="AF664" s="173"/>
      <c r="AG664" s="173"/>
      <c r="AH664" s="173"/>
      <c r="AI664" s="173"/>
      <c r="AJ664" s="173"/>
      <c r="AK664" s="173"/>
      <c r="AL664" s="173"/>
      <c r="AM664" s="173"/>
      <c r="AN664" s="173"/>
      <c r="AO664" s="173"/>
      <c r="AP664" s="173"/>
      <c r="AQ664" s="173"/>
      <c r="AR664" s="173"/>
      <c r="AS664" s="173"/>
      <c r="AT664" s="173"/>
      <c r="AU664" s="173"/>
      <c r="AV664" s="173"/>
      <c r="AW664" s="173"/>
      <c r="AX664" s="173"/>
      <c r="AY664" s="173"/>
      <c r="AZ664" s="173"/>
      <c r="BA664" s="173"/>
      <c r="BB664" s="173"/>
      <c r="BC664" s="173"/>
      <c r="BD664" s="173"/>
      <c r="BE664" s="173"/>
      <c r="BF664" s="173"/>
      <c r="BG664" s="173"/>
      <c r="BH664" s="173"/>
      <c r="BI664" s="173"/>
      <c r="BJ664" s="173"/>
      <c r="BK664" s="173"/>
      <c r="BL664" s="173"/>
      <c r="BM664" s="173"/>
    </row>
    <row r="665" spans="1:65">
      <c r="A665" s="173"/>
      <c r="B665" s="173"/>
      <c r="C665" s="173"/>
      <c r="D665" s="173"/>
      <c r="E665" s="173"/>
      <c r="F665" s="173"/>
      <c r="G665" s="173"/>
      <c r="H665" s="173"/>
      <c r="I665" s="173"/>
      <c r="J665" s="173"/>
      <c r="K665" s="322"/>
      <c r="L665" s="173"/>
      <c r="M665" s="173"/>
      <c r="Q665" s="173"/>
      <c r="R665" s="173"/>
      <c r="S665" s="173"/>
      <c r="T665" s="173"/>
      <c r="U665" s="173"/>
      <c r="V665" s="173"/>
      <c r="W665" s="173"/>
      <c r="X665" s="173"/>
      <c r="Y665" s="173"/>
      <c r="Z665" s="173"/>
      <c r="AA665" s="173"/>
      <c r="AB665" s="173"/>
      <c r="AC665" s="173"/>
      <c r="AD665" s="173"/>
      <c r="AE665" s="173"/>
      <c r="AF665" s="173"/>
      <c r="AG665" s="173"/>
      <c r="AH665" s="173"/>
      <c r="AI665" s="173"/>
      <c r="AJ665" s="173"/>
      <c r="AK665" s="173"/>
      <c r="AL665" s="173"/>
      <c r="AM665" s="173"/>
      <c r="AN665" s="173"/>
      <c r="AO665" s="173"/>
      <c r="AP665" s="173"/>
      <c r="AQ665" s="173"/>
      <c r="AR665" s="173"/>
      <c r="AS665" s="173"/>
      <c r="AT665" s="173"/>
      <c r="AU665" s="173"/>
      <c r="AV665" s="173"/>
      <c r="AW665" s="173"/>
      <c r="AX665" s="173"/>
      <c r="AY665" s="173"/>
      <c r="AZ665" s="173"/>
      <c r="BA665" s="173"/>
      <c r="BB665" s="173"/>
      <c r="BC665" s="173"/>
      <c r="BD665" s="173"/>
      <c r="BE665" s="173"/>
      <c r="BF665" s="173"/>
      <c r="BG665" s="173"/>
      <c r="BH665" s="173"/>
      <c r="BI665" s="173"/>
      <c r="BJ665" s="173"/>
      <c r="BK665" s="173"/>
      <c r="BL665" s="173"/>
      <c r="BM665" s="173"/>
    </row>
    <row r="666" spans="1:65">
      <c r="A666" s="173"/>
      <c r="B666" s="173"/>
      <c r="C666" s="173"/>
      <c r="D666" s="173"/>
      <c r="E666" s="173"/>
      <c r="F666" s="173"/>
      <c r="G666" s="173"/>
      <c r="H666" s="173"/>
      <c r="I666" s="173"/>
      <c r="J666" s="173"/>
      <c r="K666" s="322"/>
      <c r="L666" s="173"/>
      <c r="M666" s="173"/>
      <c r="Q666" s="173"/>
      <c r="R666" s="173"/>
      <c r="S666" s="173"/>
      <c r="T666" s="173"/>
      <c r="U666" s="173"/>
      <c r="V666" s="173"/>
      <c r="W666" s="173"/>
      <c r="X666" s="173"/>
      <c r="Y666" s="173"/>
      <c r="Z666" s="173"/>
      <c r="AA666" s="173"/>
      <c r="AB666" s="173"/>
      <c r="AC666" s="173"/>
      <c r="AD666" s="173"/>
      <c r="AE666" s="173"/>
      <c r="AF666" s="173"/>
      <c r="AG666" s="173"/>
      <c r="AH666" s="173"/>
      <c r="AI666" s="173"/>
      <c r="AJ666" s="173"/>
      <c r="AK666" s="173"/>
      <c r="AL666" s="173"/>
      <c r="AM666" s="173"/>
      <c r="AN666" s="173"/>
      <c r="AO666" s="173"/>
      <c r="AP666" s="173"/>
      <c r="AQ666" s="173"/>
      <c r="AR666" s="173"/>
      <c r="AS666" s="173"/>
      <c r="AT666" s="173"/>
      <c r="AU666" s="173"/>
      <c r="AV666" s="173"/>
      <c r="AW666" s="173"/>
      <c r="AX666" s="173"/>
      <c r="AY666" s="173"/>
      <c r="AZ666" s="173"/>
      <c r="BA666" s="173"/>
      <c r="BB666" s="173"/>
      <c r="BC666" s="173"/>
      <c r="BD666" s="173"/>
      <c r="BE666" s="173"/>
      <c r="BF666" s="173"/>
      <c r="BG666" s="173"/>
      <c r="BH666" s="173"/>
      <c r="BI666" s="173"/>
      <c r="BJ666" s="173"/>
      <c r="BK666" s="173"/>
      <c r="BL666" s="173"/>
      <c r="BM666" s="173"/>
    </row>
    <row r="667" spans="1:65">
      <c r="A667" s="173"/>
      <c r="B667" s="173"/>
      <c r="C667" s="173"/>
      <c r="D667" s="173"/>
      <c r="E667" s="173"/>
      <c r="F667" s="173"/>
      <c r="G667" s="173"/>
      <c r="H667" s="173"/>
      <c r="I667" s="173"/>
      <c r="J667" s="173"/>
      <c r="K667" s="322"/>
      <c r="L667" s="173"/>
      <c r="M667" s="173"/>
      <c r="Q667" s="173"/>
      <c r="R667" s="173"/>
      <c r="S667" s="173"/>
      <c r="T667" s="173"/>
      <c r="U667" s="173"/>
      <c r="V667" s="173"/>
      <c r="W667" s="173"/>
      <c r="X667" s="173"/>
      <c r="Y667" s="173"/>
      <c r="Z667" s="173"/>
      <c r="AA667" s="173"/>
      <c r="AB667" s="173"/>
      <c r="AC667" s="173"/>
      <c r="AD667" s="173"/>
      <c r="AE667" s="173"/>
      <c r="AF667" s="173"/>
      <c r="AG667" s="173"/>
      <c r="AH667" s="173"/>
      <c r="AI667" s="173"/>
      <c r="AJ667" s="173"/>
      <c r="AK667" s="173"/>
      <c r="AL667" s="173"/>
      <c r="AM667" s="173"/>
      <c r="AN667" s="173"/>
      <c r="AO667" s="173"/>
      <c r="AP667" s="173"/>
      <c r="AQ667" s="173"/>
      <c r="AR667" s="173"/>
      <c r="AS667" s="173"/>
      <c r="AT667" s="173"/>
      <c r="AU667" s="173"/>
      <c r="AV667" s="173"/>
      <c r="AW667" s="173"/>
      <c r="AX667" s="173"/>
      <c r="AY667" s="173"/>
      <c r="AZ667" s="173"/>
      <c r="BA667" s="173"/>
      <c r="BB667" s="173"/>
      <c r="BC667" s="173"/>
      <c r="BD667" s="173"/>
      <c r="BE667" s="173"/>
      <c r="BF667" s="173"/>
      <c r="BG667" s="173"/>
      <c r="BH667" s="173"/>
      <c r="BI667" s="173"/>
      <c r="BJ667" s="173"/>
      <c r="BK667" s="173"/>
      <c r="BL667" s="173"/>
      <c r="BM667" s="173"/>
    </row>
    <row r="668" spans="1:65">
      <c r="A668" s="173"/>
      <c r="B668" s="173"/>
      <c r="C668" s="173"/>
      <c r="D668" s="173"/>
      <c r="E668" s="173"/>
      <c r="F668" s="173"/>
      <c r="G668" s="173"/>
      <c r="H668" s="173"/>
      <c r="I668" s="173"/>
      <c r="J668" s="173"/>
      <c r="K668" s="322"/>
      <c r="L668" s="173"/>
      <c r="M668" s="173"/>
      <c r="Q668" s="173"/>
      <c r="R668" s="173"/>
      <c r="S668" s="173"/>
      <c r="T668" s="173"/>
      <c r="U668" s="173"/>
      <c r="V668" s="173"/>
      <c r="W668" s="173"/>
      <c r="X668" s="173"/>
      <c r="Y668" s="173"/>
      <c r="Z668" s="173"/>
      <c r="AA668" s="173"/>
      <c r="AB668" s="173"/>
      <c r="AC668" s="173"/>
      <c r="AD668" s="173"/>
      <c r="AE668" s="173"/>
      <c r="AF668" s="173"/>
      <c r="AG668" s="173"/>
      <c r="AH668" s="173"/>
      <c r="AI668" s="173"/>
      <c r="AJ668" s="173"/>
      <c r="AK668" s="173"/>
      <c r="AL668" s="173"/>
      <c r="AM668" s="173"/>
      <c r="AN668" s="173"/>
      <c r="AO668" s="173"/>
      <c r="AP668" s="173"/>
      <c r="AQ668" s="173"/>
      <c r="AR668" s="173"/>
      <c r="AS668" s="173"/>
      <c r="AT668" s="173"/>
      <c r="AU668" s="173"/>
      <c r="AV668" s="173"/>
      <c r="AW668" s="173"/>
      <c r="AX668" s="173"/>
      <c r="AY668" s="173"/>
      <c r="AZ668" s="173"/>
      <c r="BA668" s="173"/>
      <c r="BB668" s="173"/>
      <c r="BC668" s="173"/>
      <c r="BD668" s="173"/>
      <c r="BE668" s="173"/>
      <c r="BF668" s="173"/>
      <c r="BG668" s="173"/>
      <c r="BH668" s="173"/>
      <c r="BI668" s="173"/>
      <c r="BJ668" s="173"/>
      <c r="BK668" s="173"/>
      <c r="BL668" s="173"/>
      <c r="BM668" s="173"/>
    </row>
    <row r="669" spans="1:65">
      <c r="A669" s="173"/>
      <c r="B669" s="173"/>
      <c r="C669" s="173"/>
      <c r="D669" s="173"/>
      <c r="E669" s="173"/>
      <c r="F669" s="173"/>
      <c r="G669" s="173"/>
      <c r="H669" s="173"/>
      <c r="I669" s="173"/>
      <c r="J669" s="173"/>
      <c r="K669" s="322"/>
      <c r="L669" s="173"/>
      <c r="M669" s="173"/>
      <c r="Q669" s="173"/>
      <c r="R669" s="173"/>
      <c r="S669" s="173"/>
      <c r="T669" s="173"/>
      <c r="U669" s="173"/>
      <c r="V669" s="173"/>
      <c r="W669" s="173"/>
      <c r="X669" s="173"/>
      <c r="Y669" s="173"/>
      <c r="Z669" s="173"/>
      <c r="AA669" s="173"/>
      <c r="AB669" s="173"/>
      <c r="AC669" s="173"/>
      <c r="AD669" s="173"/>
      <c r="AE669" s="173"/>
      <c r="AF669" s="173"/>
      <c r="AG669" s="173"/>
      <c r="AH669" s="173"/>
      <c r="AI669" s="173"/>
      <c r="AJ669" s="173"/>
      <c r="AK669" s="173"/>
      <c r="AL669" s="173"/>
      <c r="AM669" s="173"/>
      <c r="AN669" s="173"/>
      <c r="AO669" s="173"/>
      <c r="AP669" s="173"/>
      <c r="AQ669" s="173"/>
      <c r="AR669" s="173"/>
      <c r="AS669" s="173"/>
      <c r="AT669" s="173"/>
      <c r="AU669" s="173"/>
      <c r="AV669" s="173"/>
      <c r="AW669" s="173"/>
      <c r="AX669" s="173"/>
      <c r="AY669" s="173"/>
      <c r="AZ669" s="173"/>
      <c r="BA669" s="173"/>
      <c r="BB669" s="173"/>
      <c r="BC669" s="173"/>
      <c r="BD669" s="173"/>
      <c r="BE669" s="173"/>
      <c r="BF669" s="173"/>
      <c r="BG669" s="173"/>
      <c r="BH669" s="173"/>
      <c r="BI669" s="173"/>
      <c r="BJ669" s="173"/>
      <c r="BK669" s="173"/>
      <c r="BL669" s="173"/>
      <c r="BM669" s="173"/>
    </row>
    <row r="670" spans="1:65">
      <c r="A670" s="173"/>
      <c r="B670" s="173"/>
      <c r="C670" s="173"/>
      <c r="D670" s="173"/>
      <c r="E670" s="173"/>
      <c r="F670" s="173"/>
      <c r="G670" s="173"/>
      <c r="H670" s="173"/>
      <c r="I670" s="173"/>
      <c r="J670" s="173"/>
      <c r="K670" s="322"/>
      <c r="L670" s="173"/>
      <c r="M670" s="173"/>
      <c r="Q670" s="173"/>
      <c r="R670" s="173"/>
      <c r="S670" s="173"/>
      <c r="T670" s="173"/>
      <c r="U670" s="173"/>
      <c r="V670" s="173"/>
      <c r="W670" s="173"/>
      <c r="X670" s="173"/>
      <c r="Y670" s="173"/>
      <c r="Z670" s="173"/>
      <c r="AA670" s="173"/>
      <c r="AB670" s="173"/>
      <c r="AC670" s="173"/>
      <c r="AD670" s="173"/>
      <c r="AE670" s="173"/>
      <c r="AF670" s="173"/>
      <c r="AG670" s="173"/>
      <c r="AH670" s="173"/>
      <c r="AI670" s="173"/>
      <c r="AJ670" s="173"/>
      <c r="AK670" s="173"/>
      <c r="AL670" s="173"/>
      <c r="AM670" s="173"/>
      <c r="AN670" s="173"/>
      <c r="AO670" s="173"/>
      <c r="AP670" s="173"/>
      <c r="AQ670" s="173"/>
      <c r="AR670" s="173"/>
      <c r="AS670" s="173"/>
      <c r="AT670" s="173"/>
      <c r="AU670" s="173"/>
      <c r="AV670" s="173"/>
      <c r="AW670" s="173"/>
      <c r="AX670" s="173"/>
      <c r="AY670" s="173"/>
      <c r="AZ670" s="173"/>
      <c r="BA670" s="173"/>
      <c r="BB670" s="173"/>
      <c r="BC670" s="173"/>
      <c r="BD670" s="173"/>
      <c r="BE670" s="173"/>
      <c r="BF670" s="173"/>
      <c r="BG670" s="173"/>
      <c r="BH670" s="173"/>
      <c r="BI670" s="173"/>
      <c r="BJ670" s="173"/>
      <c r="BK670" s="173"/>
      <c r="BL670" s="173"/>
      <c r="BM670" s="173"/>
    </row>
    <row r="671" spans="1:65">
      <c r="A671" s="173"/>
      <c r="B671" s="173"/>
      <c r="C671" s="173"/>
      <c r="D671" s="173"/>
      <c r="E671" s="173"/>
      <c r="F671" s="173"/>
      <c r="G671" s="173"/>
      <c r="H671" s="173"/>
      <c r="I671" s="173"/>
      <c r="J671" s="173"/>
      <c r="K671" s="322"/>
      <c r="L671" s="173"/>
      <c r="M671" s="173"/>
      <c r="Q671" s="173"/>
      <c r="R671" s="173"/>
      <c r="S671" s="173"/>
      <c r="T671" s="173"/>
      <c r="U671" s="173"/>
      <c r="V671" s="173"/>
      <c r="W671" s="173"/>
      <c r="X671" s="173"/>
      <c r="Y671" s="173"/>
      <c r="Z671" s="173"/>
      <c r="AA671" s="173"/>
      <c r="AB671" s="173"/>
      <c r="AC671" s="173"/>
      <c r="AD671" s="173"/>
      <c r="AE671" s="173"/>
      <c r="AF671" s="173"/>
      <c r="AG671" s="173"/>
      <c r="AH671" s="173"/>
      <c r="AI671" s="173"/>
      <c r="AJ671" s="173"/>
      <c r="AK671" s="173"/>
      <c r="AL671" s="173"/>
      <c r="AM671" s="173"/>
      <c r="AN671" s="173"/>
      <c r="AO671" s="173"/>
      <c r="AP671" s="173"/>
      <c r="AQ671" s="173"/>
      <c r="AR671" s="173"/>
      <c r="AS671" s="173"/>
      <c r="AT671" s="173"/>
      <c r="AU671" s="173"/>
      <c r="AV671" s="173"/>
      <c r="AW671" s="173"/>
      <c r="AX671" s="173"/>
      <c r="AY671" s="173"/>
      <c r="AZ671" s="173"/>
      <c r="BA671" s="173"/>
      <c r="BB671" s="173"/>
      <c r="BC671" s="173"/>
      <c r="BD671" s="173"/>
      <c r="BE671" s="173"/>
      <c r="BF671" s="173"/>
      <c r="BG671" s="173"/>
      <c r="BH671" s="173"/>
      <c r="BI671" s="173"/>
      <c r="BJ671" s="173"/>
      <c r="BK671" s="173"/>
      <c r="BL671" s="173"/>
      <c r="BM671" s="173"/>
    </row>
    <row r="672" spans="1:65">
      <c r="A672" s="173"/>
      <c r="B672" s="173"/>
      <c r="C672" s="173"/>
      <c r="D672" s="173"/>
      <c r="E672" s="173"/>
      <c r="F672" s="173"/>
      <c r="G672" s="173"/>
      <c r="H672" s="173"/>
      <c r="I672" s="173"/>
      <c r="J672" s="173"/>
      <c r="K672" s="322"/>
      <c r="L672" s="173"/>
      <c r="M672" s="173"/>
      <c r="Q672" s="173"/>
      <c r="R672" s="173"/>
      <c r="S672" s="173"/>
      <c r="T672" s="173"/>
      <c r="U672" s="173"/>
      <c r="V672" s="173"/>
      <c r="W672" s="173"/>
      <c r="X672" s="173"/>
      <c r="Y672" s="173"/>
      <c r="Z672" s="173"/>
      <c r="AA672" s="173"/>
      <c r="AB672" s="173"/>
      <c r="AC672" s="173"/>
      <c r="AD672" s="173"/>
      <c r="AE672" s="173"/>
      <c r="AF672" s="173"/>
      <c r="AG672" s="173"/>
      <c r="AH672" s="173"/>
      <c r="AI672" s="173"/>
      <c r="AJ672" s="173"/>
      <c r="AK672" s="173"/>
      <c r="AL672" s="173"/>
      <c r="AM672" s="173"/>
      <c r="AN672" s="173"/>
      <c r="AO672" s="173"/>
      <c r="AP672" s="173"/>
      <c r="AQ672" s="173"/>
      <c r="AR672" s="173"/>
      <c r="AS672" s="173"/>
      <c r="AT672" s="173"/>
      <c r="AU672" s="173"/>
      <c r="AV672" s="173"/>
      <c r="AW672" s="173"/>
      <c r="AX672" s="173"/>
      <c r="AY672" s="173"/>
      <c r="AZ672" s="173"/>
      <c r="BA672" s="173"/>
      <c r="BB672" s="173"/>
      <c r="BC672" s="173"/>
      <c r="BD672" s="173"/>
      <c r="BE672" s="173"/>
      <c r="BF672" s="173"/>
      <c r="BG672" s="173"/>
      <c r="BH672" s="173"/>
      <c r="BI672" s="173"/>
      <c r="BJ672" s="173"/>
      <c r="BK672" s="173"/>
      <c r="BL672" s="173"/>
      <c r="BM672" s="173"/>
    </row>
    <row r="673" spans="1:65">
      <c r="A673" s="173"/>
      <c r="B673" s="173"/>
      <c r="C673" s="173"/>
      <c r="D673" s="173"/>
      <c r="E673" s="173"/>
      <c r="F673" s="173"/>
      <c r="G673" s="173"/>
      <c r="H673" s="173"/>
      <c r="I673" s="173"/>
      <c r="J673" s="173"/>
      <c r="K673" s="322"/>
      <c r="L673" s="173"/>
      <c r="M673" s="173"/>
      <c r="Q673" s="173"/>
      <c r="R673" s="173"/>
      <c r="S673" s="173"/>
      <c r="T673" s="173"/>
      <c r="U673" s="173"/>
      <c r="V673" s="173"/>
      <c r="W673" s="173"/>
      <c r="X673" s="173"/>
      <c r="Y673" s="173"/>
      <c r="Z673" s="173"/>
      <c r="AA673" s="173"/>
      <c r="AB673" s="173"/>
      <c r="AC673" s="173"/>
      <c r="AD673" s="173"/>
      <c r="AE673" s="173"/>
      <c r="AF673" s="173"/>
      <c r="AG673" s="173"/>
      <c r="AH673" s="173"/>
      <c r="AI673" s="173"/>
      <c r="AJ673" s="173"/>
      <c r="AK673" s="173"/>
      <c r="AL673" s="173"/>
      <c r="AM673" s="173"/>
      <c r="AN673" s="173"/>
      <c r="AO673" s="173"/>
      <c r="AP673" s="173"/>
      <c r="AQ673" s="173"/>
      <c r="AR673" s="173"/>
      <c r="AS673" s="173"/>
      <c r="AT673" s="173"/>
      <c r="AU673" s="173"/>
      <c r="AV673" s="173"/>
      <c r="AW673" s="173"/>
      <c r="AX673" s="173"/>
      <c r="AY673" s="173"/>
      <c r="AZ673" s="173"/>
      <c r="BA673" s="173"/>
      <c r="BB673" s="173"/>
      <c r="BC673" s="173"/>
      <c r="BD673" s="173"/>
      <c r="BE673" s="173"/>
      <c r="BF673" s="173"/>
      <c r="BG673" s="173"/>
      <c r="BH673" s="173"/>
      <c r="BI673" s="173"/>
      <c r="BJ673" s="173"/>
      <c r="BK673" s="173"/>
      <c r="BL673" s="173"/>
      <c r="BM673" s="173"/>
    </row>
    <row r="674" spans="1:65">
      <c r="A674" s="173"/>
      <c r="B674" s="173"/>
      <c r="C674" s="173"/>
      <c r="D674" s="173"/>
      <c r="E674" s="173"/>
      <c r="F674" s="173"/>
      <c r="G674" s="173"/>
      <c r="H674" s="173"/>
      <c r="I674" s="173"/>
      <c r="J674" s="173"/>
      <c r="K674" s="322"/>
      <c r="L674" s="173"/>
      <c r="M674" s="173"/>
      <c r="Q674" s="173"/>
      <c r="R674" s="173"/>
      <c r="S674" s="173"/>
      <c r="T674" s="173"/>
      <c r="U674" s="173"/>
      <c r="V674" s="173"/>
      <c r="W674" s="173"/>
      <c r="X674" s="173"/>
      <c r="Y674" s="173"/>
      <c r="Z674" s="173"/>
      <c r="AA674" s="173"/>
      <c r="AB674" s="173"/>
      <c r="AC674" s="173"/>
      <c r="AD674" s="173"/>
      <c r="AE674" s="173"/>
      <c r="AF674" s="173"/>
      <c r="AG674" s="173"/>
      <c r="AH674" s="173"/>
      <c r="AI674" s="173"/>
      <c r="AJ674" s="173"/>
      <c r="AK674" s="173"/>
      <c r="AL674" s="173"/>
      <c r="AM674" s="173"/>
      <c r="AN674" s="173"/>
      <c r="AO674" s="173"/>
      <c r="AP674" s="173"/>
      <c r="AQ674" s="173"/>
      <c r="AR674" s="173"/>
      <c r="AS674" s="173"/>
      <c r="AT674" s="173"/>
      <c r="AU674" s="173"/>
      <c r="AV674" s="173"/>
      <c r="AW674" s="173"/>
      <c r="AX674" s="173"/>
      <c r="AY674" s="173"/>
      <c r="AZ674" s="173"/>
      <c r="BA674" s="173"/>
      <c r="BB674" s="173"/>
      <c r="BC674" s="173"/>
      <c r="BD674" s="173"/>
      <c r="BE674" s="173"/>
      <c r="BF674" s="173"/>
      <c r="BG674" s="173"/>
      <c r="BH674" s="173"/>
      <c r="BI674" s="173"/>
      <c r="BJ674" s="173"/>
      <c r="BK674" s="173"/>
      <c r="BL674" s="173"/>
      <c r="BM674" s="173"/>
    </row>
    <row r="675" spans="1:65">
      <c r="A675" s="173"/>
      <c r="B675" s="173"/>
      <c r="C675" s="173"/>
      <c r="D675" s="173"/>
      <c r="E675" s="173"/>
      <c r="F675" s="173"/>
      <c r="G675" s="173"/>
      <c r="H675" s="173"/>
      <c r="I675" s="173"/>
      <c r="J675" s="173"/>
      <c r="K675" s="322"/>
      <c r="L675" s="173"/>
      <c r="M675" s="173"/>
      <c r="Q675" s="173"/>
      <c r="R675" s="173"/>
      <c r="S675" s="173"/>
      <c r="T675" s="173"/>
      <c r="U675" s="173"/>
      <c r="V675" s="173"/>
      <c r="W675" s="173"/>
      <c r="X675" s="173"/>
      <c r="Y675" s="173"/>
      <c r="Z675" s="173"/>
      <c r="AA675" s="173"/>
      <c r="AB675" s="173"/>
      <c r="AC675" s="173"/>
      <c r="AD675" s="173"/>
      <c r="AE675" s="173"/>
      <c r="AF675" s="173"/>
      <c r="AG675" s="173"/>
      <c r="AH675" s="173"/>
      <c r="AI675" s="173"/>
      <c r="AJ675" s="173"/>
      <c r="AK675" s="173"/>
      <c r="AL675" s="173"/>
      <c r="AM675" s="173"/>
      <c r="AN675" s="173"/>
      <c r="AO675" s="173"/>
      <c r="AP675" s="173"/>
      <c r="AQ675" s="173"/>
      <c r="AR675" s="173"/>
      <c r="AS675" s="173"/>
      <c r="AT675" s="173"/>
      <c r="AU675" s="173"/>
      <c r="AV675" s="173"/>
      <c r="AW675" s="173"/>
      <c r="AX675" s="173"/>
      <c r="AY675" s="173"/>
      <c r="AZ675" s="173"/>
      <c r="BA675" s="173"/>
      <c r="BB675" s="173"/>
      <c r="BC675" s="173"/>
      <c r="BD675" s="173"/>
      <c r="BE675" s="173"/>
      <c r="BF675" s="173"/>
      <c r="BG675" s="173"/>
      <c r="BH675" s="173"/>
      <c r="BI675" s="173"/>
      <c r="BJ675" s="173"/>
      <c r="BK675" s="173"/>
      <c r="BL675" s="173"/>
      <c r="BM675" s="173"/>
    </row>
    <row r="676" spans="1:65">
      <c r="A676" s="173"/>
      <c r="B676" s="173"/>
      <c r="C676" s="173"/>
      <c r="D676" s="173"/>
      <c r="E676" s="173"/>
      <c r="F676" s="173"/>
      <c r="G676" s="173"/>
      <c r="H676" s="173"/>
      <c r="I676" s="173"/>
      <c r="J676" s="173"/>
      <c r="K676" s="322"/>
      <c r="L676" s="173"/>
      <c r="M676" s="173"/>
      <c r="Q676" s="173"/>
      <c r="R676" s="173"/>
      <c r="S676" s="173"/>
      <c r="T676" s="173"/>
      <c r="U676" s="173"/>
      <c r="V676" s="173"/>
      <c r="W676" s="173"/>
      <c r="X676" s="173"/>
      <c r="Y676" s="173"/>
      <c r="Z676" s="173"/>
      <c r="AA676" s="173"/>
      <c r="AB676" s="173"/>
      <c r="AC676" s="173"/>
      <c r="AD676" s="173"/>
      <c r="AE676" s="173"/>
      <c r="AF676" s="173"/>
      <c r="AG676" s="173"/>
      <c r="AH676" s="173"/>
      <c r="AI676" s="173"/>
      <c r="AJ676" s="173"/>
      <c r="AK676" s="173"/>
      <c r="AL676" s="173"/>
      <c r="AM676" s="173"/>
      <c r="AN676" s="173"/>
      <c r="AO676" s="173"/>
      <c r="AP676" s="173"/>
      <c r="AQ676" s="173"/>
      <c r="AR676" s="173"/>
      <c r="AS676" s="173"/>
      <c r="AT676" s="173"/>
      <c r="AU676" s="173"/>
      <c r="AV676" s="173"/>
      <c r="AW676" s="173"/>
      <c r="AX676" s="173"/>
      <c r="AY676" s="173"/>
      <c r="AZ676" s="173"/>
      <c r="BA676" s="173"/>
      <c r="BB676" s="173"/>
      <c r="BC676" s="173"/>
      <c r="BD676" s="173"/>
      <c r="BE676" s="173"/>
      <c r="BF676" s="173"/>
      <c r="BG676" s="173"/>
      <c r="BH676" s="173"/>
      <c r="BI676" s="173"/>
      <c r="BJ676" s="173"/>
      <c r="BK676" s="173"/>
      <c r="BL676" s="173"/>
      <c r="BM676" s="173"/>
    </row>
    <row r="677" spans="1:65">
      <c r="A677" s="173"/>
      <c r="B677" s="173"/>
      <c r="C677" s="173"/>
      <c r="D677" s="173"/>
      <c r="E677" s="173"/>
      <c r="F677" s="173"/>
      <c r="G677" s="173"/>
      <c r="H677" s="173"/>
      <c r="I677" s="173"/>
      <c r="J677" s="173"/>
      <c r="K677" s="322"/>
      <c r="L677" s="173"/>
      <c r="M677" s="173"/>
      <c r="Q677" s="173"/>
      <c r="R677" s="173"/>
      <c r="S677" s="173"/>
      <c r="T677" s="173"/>
      <c r="U677" s="173"/>
      <c r="V677" s="173"/>
      <c r="W677" s="173"/>
      <c r="X677" s="173"/>
      <c r="Y677" s="173"/>
      <c r="Z677" s="173"/>
      <c r="AA677" s="173"/>
      <c r="AB677" s="173"/>
      <c r="AC677" s="173"/>
      <c r="AD677" s="173"/>
      <c r="AE677" s="173"/>
      <c r="AF677" s="173"/>
      <c r="AG677" s="173"/>
      <c r="AH677" s="173"/>
      <c r="AI677" s="173"/>
      <c r="AJ677" s="173"/>
      <c r="AK677" s="173"/>
      <c r="AL677" s="173"/>
      <c r="AM677" s="173"/>
      <c r="AN677" s="173"/>
      <c r="AO677" s="173"/>
      <c r="AP677" s="173"/>
      <c r="AQ677" s="173"/>
      <c r="AR677" s="173"/>
      <c r="AS677" s="173"/>
      <c r="AT677" s="173"/>
      <c r="AU677" s="173"/>
      <c r="AV677" s="173"/>
      <c r="AW677" s="173"/>
      <c r="AX677" s="173"/>
      <c r="AY677" s="173"/>
      <c r="AZ677" s="173"/>
      <c r="BA677" s="173"/>
      <c r="BB677" s="173"/>
      <c r="BC677" s="173"/>
      <c r="BD677" s="173"/>
      <c r="BE677" s="173"/>
      <c r="BF677" s="173"/>
      <c r="BG677" s="173"/>
      <c r="BH677" s="173"/>
      <c r="BI677" s="173"/>
      <c r="BJ677" s="173"/>
      <c r="BK677" s="173"/>
      <c r="BL677" s="173"/>
      <c r="BM677" s="173"/>
    </row>
    <row r="678" spans="1:65">
      <c r="A678" s="173"/>
      <c r="B678" s="173"/>
      <c r="C678" s="173"/>
      <c r="D678" s="173"/>
      <c r="E678" s="173"/>
      <c r="F678" s="173"/>
      <c r="G678" s="173"/>
      <c r="H678" s="173"/>
      <c r="I678" s="173"/>
      <c r="J678" s="173"/>
      <c r="K678" s="322"/>
      <c r="L678" s="173"/>
      <c r="M678" s="173"/>
      <c r="Q678" s="173"/>
      <c r="R678" s="173"/>
      <c r="S678" s="173"/>
      <c r="T678" s="173"/>
      <c r="U678" s="173"/>
      <c r="V678" s="173"/>
      <c r="W678" s="173"/>
      <c r="X678" s="173"/>
      <c r="Y678" s="173"/>
      <c r="Z678" s="173"/>
      <c r="AA678" s="173"/>
      <c r="AB678" s="173"/>
      <c r="AC678" s="173"/>
      <c r="AD678" s="173"/>
      <c r="AE678" s="173"/>
      <c r="AF678" s="173"/>
      <c r="AG678" s="173"/>
      <c r="AH678" s="173"/>
      <c r="AI678" s="173"/>
      <c r="AJ678" s="173"/>
      <c r="AK678" s="173"/>
      <c r="AL678" s="173"/>
      <c r="AM678" s="173"/>
      <c r="AN678" s="173"/>
      <c r="AO678" s="173"/>
      <c r="AP678" s="173"/>
      <c r="AQ678" s="173"/>
      <c r="AR678" s="173"/>
      <c r="AS678" s="173"/>
      <c r="AT678" s="173"/>
      <c r="AU678" s="173"/>
      <c r="AV678" s="173"/>
      <c r="AW678" s="173"/>
      <c r="AX678" s="173"/>
      <c r="AY678" s="173"/>
      <c r="AZ678" s="173"/>
      <c r="BA678" s="173"/>
      <c r="BB678" s="173"/>
      <c r="BC678" s="173"/>
      <c r="BD678" s="173"/>
      <c r="BE678" s="173"/>
      <c r="BF678" s="173"/>
      <c r="BG678" s="173"/>
      <c r="BH678" s="173"/>
      <c r="BI678" s="173"/>
      <c r="BJ678" s="173"/>
      <c r="BK678" s="173"/>
      <c r="BL678" s="173"/>
      <c r="BM678" s="173"/>
    </row>
    <row r="679" spans="1:65">
      <c r="A679" s="173"/>
      <c r="B679" s="173"/>
      <c r="C679" s="173"/>
      <c r="D679" s="173"/>
      <c r="E679" s="173"/>
      <c r="F679" s="173"/>
      <c r="G679" s="173"/>
      <c r="H679" s="173"/>
      <c r="I679" s="173"/>
      <c r="J679" s="173"/>
      <c r="K679" s="322"/>
      <c r="L679" s="173"/>
      <c r="M679" s="173"/>
      <c r="Q679" s="173"/>
      <c r="R679" s="173"/>
      <c r="S679" s="173"/>
      <c r="T679" s="173"/>
      <c r="U679" s="173"/>
      <c r="V679" s="173"/>
      <c r="W679" s="173"/>
      <c r="X679" s="173"/>
      <c r="Y679" s="173"/>
      <c r="Z679" s="173"/>
      <c r="AA679" s="173"/>
      <c r="AB679" s="173"/>
      <c r="AC679" s="173"/>
      <c r="AD679" s="173"/>
      <c r="AE679" s="173"/>
      <c r="AF679" s="173"/>
      <c r="AG679" s="173"/>
      <c r="AH679" s="173"/>
      <c r="AI679" s="173"/>
      <c r="AJ679" s="173"/>
      <c r="AK679" s="173"/>
      <c r="AL679" s="173"/>
      <c r="AM679" s="173"/>
      <c r="AN679" s="173"/>
      <c r="AO679" s="173"/>
      <c r="AP679" s="173"/>
      <c r="AQ679" s="173"/>
      <c r="AR679" s="173"/>
      <c r="AS679" s="173"/>
      <c r="AT679" s="173"/>
      <c r="AU679" s="173"/>
      <c r="AV679" s="173"/>
      <c r="AW679" s="173"/>
      <c r="AX679" s="173"/>
      <c r="AY679" s="173"/>
      <c r="AZ679" s="173"/>
      <c r="BA679" s="173"/>
      <c r="BB679" s="173"/>
      <c r="BC679" s="173"/>
      <c r="BD679" s="173"/>
      <c r="BE679" s="173"/>
      <c r="BF679" s="173"/>
      <c r="BG679" s="173"/>
      <c r="BH679" s="173"/>
      <c r="BI679" s="173"/>
      <c r="BJ679" s="173"/>
      <c r="BK679" s="173"/>
      <c r="BL679" s="173"/>
      <c r="BM679" s="173"/>
    </row>
    <row r="680" spans="1:65">
      <c r="A680" s="173"/>
      <c r="B680" s="173"/>
      <c r="C680" s="173"/>
      <c r="D680" s="173"/>
      <c r="E680" s="173"/>
      <c r="F680" s="173"/>
      <c r="G680" s="173"/>
      <c r="H680" s="173"/>
      <c r="I680" s="173"/>
      <c r="J680" s="173"/>
      <c r="K680" s="322"/>
      <c r="L680" s="173"/>
      <c r="M680" s="173"/>
      <c r="Q680" s="173"/>
      <c r="R680" s="173"/>
      <c r="S680" s="173"/>
      <c r="T680" s="173"/>
      <c r="U680" s="173"/>
      <c r="V680" s="173"/>
      <c r="W680" s="173"/>
      <c r="X680" s="173"/>
      <c r="Y680" s="173"/>
      <c r="Z680" s="173"/>
      <c r="AA680" s="173"/>
      <c r="AB680" s="173"/>
      <c r="AC680" s="173"/>
      <c r="AD680" s="173"/>
      <c r="AE680" s="173"/>
      <c r="AF680" s="173"/>
      <c r="AG680" s="173"/>
      <c r="AH680" s="173"/>
      <c r="AI680" s="173"/>
      <c r="AJ680" s="173"/>
      <c r="AK680" s="173"/>
      <c r="AL680" s="173"/>
      <c r="AM680" s="173"/>
      <c r="AN680" s="173"/>
      <c r="AO680" s="173"/>
      <c r="AP680" s="173"/>
      <c r="AQ680" s="173"/>
      <c r="AR680" s="173"/>
      <c r="AS680" s="173"/>
      <c r="AT680" s="173"/>
      <c r="AU680" s="173"/>
      <c r="AV680" s="173"/>
      <c r="AW680" s="173"/>
      <c r="AX680" s="173"/>
      <c r="AY680" s="173"/>
      <c r="AZ680" s="173"/>
      <c r="BA680" s="173"/>
      <c r="BB680" s="173"/>
      <c r="BC680" s="173"/>
      <c r="BD680" s="173"/>
      <c r="BE680" s="173"/>
      <c r="BF680" s="173"/>
      <c r="BG680" s="173"/>
      <c r="BH680" s="173"/>
      <c r="BI680" s="173"/>
      <c r="BJ680" s="173"/>
      <c r="BK680" s="173"/>
      <c r="BL680" s="173"/>
      <c r="BM680" s="173"/>
    </row>
    <row r="681" spans="1:65">
      <c r="A681" s="173"/>
      <c r="B681" s="173"/>
      <c r="C681" s="173"/>
      <c r="D681" s="173"/>
      <c r="E681" s="173"/>
      <c r="F681" s="173"/>
      <c r="G681" s="173"/>
      <c r="H681" s="173"/>
      <c r="I681" s="173"/>
      <c r="J681" s="173"/>
      <c r="K681" s="322"/>
      <c r="L681" s="173"/>
      <c r="M681" s="173"/>
      <c r="Q681" s="173"/>
      <c r="R681" s="173"/>
      <c r="S681" s="173"/>
      <c r="T681" s="173"/>
      <c r="U681" s="173"/>
      <c r="V681" s="173"/>
      <c r="W681" s="173"/>
      <c r="X681" s="173"/>
      <c r="Y681" s="173"/>
      <c r="Z681" s="173"/>
      <c r="AA681" s="173"/>
      <c r="AB681" s="173"/>
      <c r="AC681" s="173"/>
      <c r="AD681" s="173"/>
      <c r="AE681" s="173"/>
      <c r="AF681" s="173"/>
      <c r="AG681" s="173"/>
      <c r="AH681" s="173"/>
      <c r="AI681" s="173"/>
      <c r="AJ681" s="173"/>
      <c r="AK681" s="173"/>
      <c r="AL681" s="173"/>
      <c r="AM681" s="173"/>
      <c r="AN681" s="173"/>
      <c r="AO681" s="173"/>
      <c r="AP681" s="173"/>
      <c r="AQ681" s="173"/>
      <c r="AR681" s="173"/>
      <c r="AS681" s="173"/>
      <c r="AT681" s="173"/>
      <c r="AU681" s="173"/>
      <c r="AV681" s="173"/>
      <c r="AW681" s="173"/>
      <c r="AX681" s="173"/>
      <c r="AY681" s="173"/>
      <c r="AZ681" s="173"/>
      <c r="BA681" s="173"/>
      <c r="BB681" s="173"/>
      <c r="BC681" s="173"/>
      <c r="BD681" s="173"/>
      <c r="BE681" s="173"/>
      <c r="BF681" s="173"/>
      <c r="BG681" s="173"/>
      <c r="BH681" s="173"/>
      <c r="BI681" s="173"/>
      <c r="BJ681" s="173"/>
      <c r="BK681" s="173"/>
      <c r="BL681" s="173"/>
      <c r="BM681" s="173"/>
    </row>
    <row r="682" spans="1:65">
      <c r="A682" s="173"/>
      <c r="B682" s="173"/>
      <c r="C682" s="173"/>
      <c r="D682" s="173"/>
      <c r="E682" s="173"/>
      <c r="F682" s="173"/>
      <c r="G682" s="173"/>
      <c r="H682" s="173"/>
      <c r="I682" s="173"/>
      <c r="J682" s="173"/>
      <c r="K682" s="322"/>
      <c r="L682" s="173"/>
      <c r="M682" s="173"/>
      <c r="Q682" s="173"/>
      <c r="R682" s="173"/>
      <c r="S682" s="173"/>
      <c r="T682" s="173"/>
      <c r="U682" s="173"/>
      <c r="V682" s="173"/>
      <c r="W682" s="173"/>
      <c r="X682" s="173"/>
      <c r="Y682" s="173"/>
      <c r="Z682" s="173"/>
      <c r="AA682" s="173"/>
      <c r="AB682" s="173"/>
      <c r="AC682" s="173"/>
      <c r="AD682" s="173"/>
      <c r="AE682" s="173"/>
      <c r="AF682" s="173"/>
      <c r="AG682" s="173"/>
      <c r="AH682" s="173"/>
      <c r="AI682" s="173"/>
      <c r="AJ682" s="173"/>
      <c r="AK682" s="173"/>
      <c r="AL682" s="173"/>
      <c r="AM682" s="173"/>
      <c r="AN682" s="173"/>
      <c r="AO682" s="173"/>
      <c r="AP682" s="173"/>
      <c r="AQ682" s="173"/>
      <c r="AR682" s="173"/>
      <c r="AS682" s="173"/>
      <c r="AT682" s="173"/>
      <c r="AU682" s="173"/>
      <c r="AV682" s="173"/>
      <c r="AW682" s="173"/>
      <c r="AX682" s="173"/>
      <c r="AY682" s="173"/>
      <c r="AZ682" s="173"/>
      <c r="BA682" s="173"/>
      <c r="BB682" s="173"/>
      <c r="BC682" s="173"/>
      <c r="BD682" s="173"/>
      <c r="BE682" s="173"/>
      <c r="BF682" s="173"/>
      <c r="BG682" s="173"/>
      <c r="BH682" s="173"/>
      <c r="BI682" s="173"/>
      <c r="BJ682" s="173"/>
      <c r="BK682" s="173"/>
      <c r="BL682" s="173"/>
      <c r="BM682" s="173"/>
    </row>
    <row r="683" spans="1:65">
      <c r="A683" s="173"/>
      <c r="B683" s="173"/>
      <c r="C683" s="173"/>
      <c r="D683" s="173"/>
      <c r="E683" s="173"/>
      <c r="F683" s="173"/>
      <c r="G683" s="173"/>
      <c r="H683" s="173"/>
      <c r="I683" s="173"/>
      <c r="J683" s="173"/>
      <c r="K683" s="322"/>
      <c r="L683" s="173"/>
      <c r="M683" s="173"/>
      <c r="Q683" s="173"/>
      <c r="R683" s="173"/>
      <c r="S683" s="173"/>
      <c r="T683" s="173"/>
      <c r="U683" s="173"/>
      <c r="V683" s="173"/>
      <c r="W683" s="173"/>
      <c r="X683" s="173"/>
      <c r="Y683" s="173"/>
      <c r="Z683" s="173"/>
      <c r="AA683" s="173"/>
      <c r="AB683" s="173"/>
      <c r="AC683" s="173"/>
      <c r="AD683" s="173"/>
      <c r="AE683" s="173"/>
      <c r="AF683" s="173"/>
      <c r="AG683" s="173"/>
      <c r="AH683" s="173"/>
      <c r="AI683" s="173"/>
      <c r="AJ683" s="173"/>
      <c r="AK683" s="173"/>
      <c r="AL683" s="173"/>
      <c r="AM683" s="173"/>
      <c r="AN683" s="173"/>
      <c r="AO683" s="173"/>
      <c r="AP683" s="173"/>
      <c r="AQ683" s="173"/>
      <c r="AR683" s="173"/>
      <c r="AS683" s="173"/>
      <c r="AT683" s="173"/>
      <c r="AU683" s="173"/>
      <c r="AV683" s="173"/>
      <c r="AW683" s="173"/>
      <c r="AX683" s="173"/>
      <c r="AY683" s="173"/>
      <c r="AZ683" s="173"/>
      <c r="BA683" s="173"/>
      <c r="BB683" s="173"/>
      <c r="BC683" s="173"/>
      <c r="BD683" s="173"/>
      <c r="BE683" s="173"/>
      <c r="BF683" s="173"/>
      <c r="BG683" s="173"/>
      <c r="BH683" s="173"/>
      <c r="BI683" s="173"/>
      <c r="BJ683" s="173"/>
      <c r="BK683" s="173"/>
      <c r="BL683" s="173"/>
      <c r="BM683" s="173"/>
    </row>
    <row r="684" spans="1:65">
      <c r="A684" s="173"/>
      <c r="B684" s="173"/>
      <c r="C684" s="173"/>
      <c r="D684" s="173"/>
      <c r="E684" s="173"/>
      <c r="F684" s="173"/>
      <c r="G684" s="173"/>
      <c r="H684" s="173"/>
      <c r="I684" s="173"/>
      <c r="J684" s="173"/>
      <c r="K684" s="322"/>
      <c r="L684" s="173"/>
      <c r="M684" s="173"/>
      <c r="Q684" s="173"/>
      <c r="R684" s="173"/>
      <c r="S684" s="173"/>
      <c r="T684" s="173"/>
      <c r="U684" s="173"/>
      <c r="V684" s="173"/>
      <c r="W684" s="173"/>
      <c r="X684" s="173"/>
      <c r="Y684" s="173"/>
      <c r="Z684" s="173"/>
      <c r="AA684" s="173"/>
      <c r="AB684" s="173"/>
      <c r="AC684" s="173"/>
      <c r="AD684" s="173"/>
      <c r="AE684" s="173"/>
      <c r="AF684" s="173"/>
      <c r="AG684" s="173"/>
      <c r="AH684" s="173"/>
      <c r="AI684" s="173"/>
      <c r="AJ684" s="173"/>
      <c r="AK684" s="173"/>
      <c r="AL684" s="173"/>
      <c r="AM684" s="173"/>
      <c r="AN684" s="173"/>
      <c r="AO684" s="173"/>
      <c r="AP684" s="173"/>
      <c r="AQ684" s="173"/>
      <c r="AR684" s="173"/>
      <c r="AS684" s="173"/>
      <c r="AT684" s="173"/>
      <c r="AU684" s="173"/>
      <c r="AV684" s="173"/>
      <c r="AW684" s="173"/>
      <c r="AX684" s="173"/>
      <c r="AY684" s="173"/>
      <c r="AZ684" s="173"/>
      <c r="BA684" s="173"/>
      <c r="BB684" s="173"/>
      <c r="BC684" s="173"/>
      <c r="BD684" s="173"/>
      <c r="BE684" s="173"/>
      <c r="BF684" s="173"/>
      <c r="BG684" s="173"/>
      <c r="BH684" s="173"/>
      <c r="BI684" s="173"/>
      <c r="BJ684" s="173"/>
      <c r="BK684" s="173"/>
      <c r="BL684" s="173"/>
      <c r="BM684" s="173"/>
    </row>
    <row r="685" spans="1:65">
      <c r="A685" s="173"/>
      <c r="B685" s="173"/>
      <c r="C685" s="173"/>
      <c r="D685" s="173"/>
      <c r="E685" s="173"/>
      <c r="F685" s="173"/>
      <c r="G685" s="173"/>
      <c r="H685" s="173"/>
      <c r="I685" s="173"/>
      <c r="J685" s="173"/>
      <c r="K685" s="322"/>
      <c r="L685" s="173"/>
      <c r="M685" s="173"/>
      <c r="Q685" s="173"/>
      <c r="R685" s="173"/>
      <c r="S685" s="173"/>
      <c r="T685" s="173"/>
      <c r="U685" s="173"/>
      <c r="V685" s="173"/>
      <c r="W685" s="173"/>
      <c r="X685" s="173"/>
      <c r="Y685" s="173"/>
      <c r="Z685" s="173"/>
      <c r="AA685" s="173"/>
      <c r="AB685" s="173"/>
      <c r="AC685" s="173"/>
      <c r="AD685" s="173"/>
      <c r="AE685" s="173"/>
      <c r="AF685" s="173"/>
      <c r="AG685" s="173"/>
      <c r="AH685" s="173"/>
      <c r="AI685" s="173"/>
      <c r="AJ685" s="173"/>
      <c r="AK685" s="173"/>
      <c r="AL685" s="173"/>
      <c r="AM685" s="173"/>
      <c r="AN685" s="173"/>
      <c r="AO685" s="173"/>
      <c r="AP685" s="173"/>
      <c r="AQ685" s="173"/>
      <c r="AR685" s="173"/>
      <c r="AS685" s="173"/>
      <c r="AT685" s="173"/>
      <c r="AU685" s="173"/>
      <c r="AV685" s="173"/>
      <c r="AW685" s="173"/>
      <c r="AX685" s="173"/>
      <c r="AY685" s="173"/>
      <c r="AZ685" s="173"/>
      <c r="BA685" s="173"/>
      <c r="BB685" s="173"/>
      <c r="BC685" s="173"/>
      <c r="BD685" s="173"/>
      <c r="BE685" s="173"/>
      <c r="BF685" s="173"/>
      <c r="BG685" s="173"/>
      <c r="BH685" s="173"/>
      <c r="BI685" s="173"/>
      <c r="BJ685" s="173"/>
      <c r="BK685" s="173"/>
      <c r="BL685" s="173"/>
      <c r="BM685" s="173"/>
    </row>
    <row r="686" spans="1:65">
      <c r="A686" s="173"/>
      <c r="B686" s="173"/>
      <c r="C686" s="173"/>
      <c r="D686" s="173"/>
      <c r="E686" s="173"/>
      <c r="F686" s="173"/>
      <c r="G686" s="173"/>
      <c r="H686" s="173"/>
      <c r="I686" s="173"/>
      <c r="J686" s="173"/>
      <c r="K686" s="322"/>
      <c r="L686" s="173"/>
      <c r="M686" s="173"/>
      <c r="Q686" s="173"/>
      <c r="R686" s="173"/>
      <c r="S686" s="173"/>
      <c r="T686" s="173"/>
      <c r="U686" s="173"/>
      <c r="V686" s="173"/>
      <c r="W686" s="173"/>
      <c r="X686" s="173"/>
      <c r="Y686" s="173"/>
      <c r="Z686" s="173"/>
      <c r="AA686" s="173"/>
      <c r="AB686" s="173"/>
      <c r="AC686" s="173"/>
      <c r="AD686" s="173"/>
      <c r="AE686" s="173"/>
      <c r="AF686" s="173"/>
      <c r="AG686" s="173"/>
      <c r="AH686" s="173"/>
      <c r="AI686" s="173"/>
      <c r="AJ686" s="173"/>
      <c r="AK686" s="173"/>
      <c r="AL686" s="173"/>
      <c r="AM686" s="173"/>
      <c r="AN686" s="173"/>
      <c r="AO686" s="173"/>
      <c r="AP686" s="173"/>
      <c r="AQ686" s="173"/>
      <c r="AR686" s="173"/>
      <c r="AS686" s="173"/>
      <c r="AT686" s="173"/>
      <c r="AU686" s="173"/>
      <c r="AV686" s="173"/>
      <c r="AW686" s="173"/>
      <c r="AX686" s="173"/>
      <c r="AY686" s="173"/>
      <c r="AZ686" s="173"/>
      <c r="BA686" s="173"/>
      <c r="BB686" s="173"/>
      <c r="BC686" s="173"/>
      <c r="BD686" s="173"/>
      <c r="BE686" s="173"/>
      <c r="BF686" s="173"/>
      <c r="BG686" s="173"/>
      <c r="BH686" s="173"/>
      <c r="BI686" s="173"/>
      <c r="BJ686" s="173"/>
      <c r="BK686" s="173"/>
      <c r="BL686" s="173"/>
      <c r="BM686" s="173"/>
    </row>
    <row r="687" spans="1:65">
      <c r="A687" s="173"/>
      <c r="B687" s="173"/>
      <c r="C687" s="173"/>
      <c r="D687" s="173"/>
      <c r="E687" s="173"/>
      <c r="F687" s="173"/>
      <c r="G687" s="173"/>
      <c r="H687" s="173"/>
      <c r="I687" s="173"/>
      <c r="J687" s="173"/>
      <c r="K687" s="322"/>
      <c r="L687" s="173"/>
      <c r="M687" s="173"/>
      <c r="Q687" s="173"/>
      <c r="R687" s="173"/>
      <c r="S687" s="173"/>
      <c r="T687" s="173"/>
      <c r="U687" s="173"/>
      <c r="V687" s="173"/>
      <c r="W687" s="173"/>
      <c r="X687" s="173"/>
      <c r="Y687" s="173"/>
      <c r="Z687" s="173"/>
      <c r="AA687" s="173"/>
      <c r="AB687" s="173"/>
      <c r="AC687" s="173"/>
      <c r="AD687" s="173"/>
      <c r="AE687" s="173"/>
      <c r="AF687" s="173"/>
      <c r="AG687" s="173"/>
      <c r="AH687" s="173"/>
      <c r="AI687" s="173"/>
      <c r="AJ687" s="173"/>
      <c r="AK687" s="173"/>
      <c r="AL687" s="173"/>
      <c r="AM687" s="173"/>
      <c r="AN687" s="173"/>
      <c r="AO687" s="173"/>
      <c r="AP687" s="173"/>
      <c r="AQ687" s="173"/>
      <c r="AR687" s="173"/>
      <c r="AS687" s="173"/>
      <c r="AT687" s="173"/>
      <c r="AU687" s="173"/>
      <c r="AV687" s="173"/>
      <c r="AW687" s="173"/>
      <c r="AX687" s="173"/>
      <c r="AY687" s="173"/>
      <c r="AZ687" s="173"/>
      <c r="BA687" s="173"/>
      <c r="BB687" s="173"/>
      <c r="BC687" s="173"/>
      <c r="BD687" s="173"/>
      <c r="BE687" s="173"/>
      <c r="BF687" s="173"/>
      <c r="BG687" s="173"/>
      <c r="BH687" s="173"/>
      <c r="BI687" s="173"/>
      <c r="BJ687" s="173"/>
      <c r="BK687" s="173"/>
      <c r="BL687" s="173"/>
      <c r="BM687" s="173"/>
    </row>
    <row r="688" spans="1:65">
      <c r="A688" s="173"/>
      <c r="B688" s="173"/>
      <c r="C688" s="173"/>
      <c r="D688" s="173"/>
      <c r="E688" s="173"/>
      <c r="F688" s="173"/>
      <c r="G688" s="173"/>
      <c r="H688" s="173"/>
      <c r="I688" s="173"/>
      <c r="J688" s="173"/>
      <c r="K688" s="322"/>
      <c r="L688" s="173"/>
      <c r="M688" s="173"/>
      <c r="Q688" s="173"/>
      <c r="R688" s="173"/>
      <c r="S688" s="173"/>
      <c r="T688" s="173"/>
      <c r="U688" s="173"/>
      <c r="V688" s="173"/>
      <c r="W688" s="173"/>
      <c r="X688" s="173"/>
      <c r="Y688" s="173"/>
      <c r="Z688" s="173"/>
      <c r="AA688" s="173"/>
      <c r="AB688" s="173"/>
      <c r="AC688" s="173"/>
      <c r="AD688" s="173"/>
      <c r="AE688" s="173"/>
      <c r="AF688" s="173"/>
      <c r="AG688" s="173"/>
      <c r="AH688" s="173"/>
      <c r="AI688" s="173"/>
      <c r="AJ688" s="173"/>
      <c r="AK688" s="173"/>
      <c r="AL688" s="173"/>
      <c r="AM688" s="173"/>
      <c r="AN688" s="173"/>
      <c r="AO688" s="173"/>
      <c r="AP688" s="173"/>
      <c r="AQ688" s="173"/>
      <c r="AR688" s="173"/>
      <c r="AS688" s="173"/>
      <c r="AT688" s="173"/>
      <c r="AU688" s="173"/>
      <c r="AV688" s="173"/>
      <c r="AW688" s="173"/>
      <c r="AX688" s="173"/>
      <c r="AY688" s="173"/>
      <c r="AZ688" s="173"/>
      <c r="BA688" s="173"/>
      <c r="BB688" s="173"/>
      <c r="BC688" s="173"/>
      <c r="BD688" s="173"/>
      <c r="BE688" s="173"/>
      <c r="BF688" s="173"/>
      <c r="BG688" s="173"/>
      <c r="BH688" s="173"/>
      <c r="BI688" s="173"/>
      <c r="BJ688" s="173"/>
      <c r="BK688" s="173"/>
      <c r="BL688" s="173"/>
      <c r="BM688" s="173"/>
    </row>
    <row r="689" spans="1:65">
      <c r="A689" s="173"/>
      <c r="B689" s="173"/>
      <c r="C689" s="173"/>
      <c r="D689" s="173"/>
      <c r="E689" s="173"/>
      <c r="F689" s="173"/>
      <c r="G689" s="173"/>
      <c r="H689" s="173"/>
      <c r="I689" s="173"/>
      <c r="J689" s="173"/>
      <c r="K689" s="322"/>
      <c r="L689" s="173"/>
      <c r="M689" s="173"/>
      <c r="Q689" s="173"/>
      <c r="R689" s="173"/>
      <c r="S689" s="173"/>
      <c r="T689" s="173"/>
      <c r="U689" s="173"/>
      <c r="V689" s="173"/>
      <c r="W689" s="173"/>
      <c r="X689" s="173"/>
      <c r="Y689" s="173"/>
      <c r="Z689" s="173"/>
      <c r="AA689" s="173"/>
      <c r="AB689" s="173"/>
      <c r="AC689" s="173"/>
      <c r="AD689" s="173"/>
      <c r="AE689" s="173"/>
      <c r="AF689" s="173"/>
      <c r="AG689" s="173"/>
      <c r="AH689" s="173"/>
      <c r="AI689" s="173"/>
      <c r="AJ689" s="173"/>
      <c r="AK689" s="173"/>
      <c r="AL689" s="173"/>
      <c r="AM689" s="173"/>
      <c r="AN689" s="173"/>
      <c r="AO689" s="173"/>
      <c r="AP689" s="173"/>
      <c r="AQ689" s="173"/>
      <c r="AR689" s="173"/>
      <c r="AS689" s="173"/>
      <c r="AT689" s="173"/>
      <c r="AU689" s="173"/>
      <c r="AV689" s="173"/>
      <c r="AW689" s="173"/>
      <c r="AX689" s="173"/>
      <c r="AY689" s="173"/>
      <c r="AZ689" s="173"/>
      <c r="BA689" s="173"/>
      <c r="BB689" s="173"/>
      <c r="BC689" s="173"/>
      <c r="BD689" s="173"/>
      <c r="BE689" s="173"/>
      <c r="BF689" s="173"/>
      <c r="BG689" s="173"/>
      <c r="BH689" s="173"/>
      <c r="BI689" s="173"/>
      <c r="BJ689" s="173"/>
      <c r="BK689" s="173"/>
      <c r="BL689" s="173"/>
      <c r="BM689" s="173"/>
    </row>
    <row r="690" spans="1:65">
      <c r="A690" s="173"/>
      <c r="B690" s="173"/>
      <c r="C690" s="173"/>
      <c r="D690" s="173"/>
      <c r="E690" s="173"/>
      <c r="F690" s="173"/>
      <c r="G690" s="173"/>
      <c r="H690" s="173"/>
      <c r="I690" s="173"/>
      <c r="J690" s="173"/>
      <c r="K690" s="322"/>
      <c r="L690" s="173"/>
      <c r="M690" s="173"/>
      <c r="Q690" s="173"/>
      <c r="R690" s="173"/>
      <c r="S690" s="173"/>
      <c r="T690" s="173"/>
      <c r="U690" s="173"/>
      <c r="V690" s="173"/>
      <c r="W690" s="173"/>
      <c r="X690" s="173"/>
      <c r="Y690" s="173"/>
      <c r="Z690" s="173"/>
      <c r="AA690" s="173"/>
      <c r="AB690" s="173"/>
      <c r="AC690" s="173"/>
      <c r="AD690" s="173"/>
      <c r="AE690" s="173"/>
      <c r="AF690" s="173"/>
      <c r="AG690" s="173"/>
      <c r="AH690" s="173"/>
      <c r="AI690" s="173"/>
      <c r="AJ690" s="173"/>
      <c r="AK690" s="173"/>
      <c r="AL690" s="173"/>
      <c r="AM690" s="173"/>
      <c r="AN690" s="173"/>
      <c r="AO690" s="173"/>
      <c r="AP690" s="173"/>
      <c r="AQ690" s="173"/>
      <c r="AR690" s="173"/>
      <c r="AS690" s="173"/>
      <c r="AT690" s="173"/>
      <c r="AU690" s="173"/>
      <c r="AV690" s="173"/>
      <c r="AW690" s="173"/>
      <c r="AX690" s="173"/>
      <c r="AY690" s="173"/>
      <c r="AZ690" s="173"/>
      <c r="BA690" s="173"/>
      <c r="BB690" s="173"/>
      <c r="BC690" s="173"/>
      <c r="BD690" s="173"/>
      <c r="BE690" s="173"/>
      <c r="BF690" s="173"/>
      <c r="BG690" s="173"/>
      <c r="BH690" s="173"/>
      <c r="BI690" s="173"/>
      <c r="BJ690" s="173"/>
      <c r="BK690" s="173"/>
      <c r="BL690" s="173"/>
      <c r="BM690" s="173"/>
    </row>
    <row r="691" spans="1:65">
      <c r="A691" s="173"/>
      <c r="B691" s="173"/>
      <c r="C691" s="173"/>
      <c r="D691" s="173"/>
      <c r="E691" s="173"/>
      <c r="F691" s="173"/>
      <c r="G691" s="173"/>
      <c r="H691" s="173"/>
      <c r="I691" s="173"/>
      <c r="J691" s="173"/>
      <c r="K691" s="322"/>
      <c r="L691" s="173"/>
      <c r="M691" s="173"/>
      <c r="Q691" s="173"/>
      <c r="R691" s="173"/>
      <c r="S691" s="173"/>
      <c r="T691" s="173"/>
      <c r="U691" s="173"/>
      <c r="V691" s="173"/>
      <c r="W691" s="173"/>
      <c r="X691" s="173"/>
      <c r="Y691" s="173"/>
      <c r="Z691" s="173"/>
      <c r="AA691" s="173"/>
      <c r="AB691" s="173"/>
      <c r="AC691" s="173"/>
      <c r="AD691" s="173"/>
      <c r="AE691" s="173"/>
      <c r="AF691" s="173"/>
      <c r="AG691" s="173"/>
      <c r="AH691" s="173"/>
      <c r="AI691" s="173"/>
      <c r="AJ691" s="173"/>
      <c r="AK691" s="173"/>
      <c r="AL691" s="173"/>
      <c r="AM691" s="173"/>
      <c r="AN691" s="173"/>
      <c r="AO691" s="173"/>
      <c r="AP691" s="173"/>
      <c r="AQ691" s="173"/>
      <c r="AR691" s="173"/>
      <c r="AS691" s="173"/>
      <c r="AT691" s="173"/>
      <c r="AU691" s="173"/>
      <c r="AV691" s="173"/>
      <c r="AW691" s="173"/>
      <c r="AX691" s="173"/>
      <c r="AY691" s="173"/>
      <c r="AZ691" s="173"/>
      <c r="BA691" s="173"/>
      <c r="BB691" s="173"/>
      <c r="BC691" s="173"/>
      <c r="BD691" s="173"/>
      <c r="BE691" s="173"/>
      <c r="BF691" s="173"/>
      <c r="BG691" s="173"/>
      <c r="BH691" s="173"/>
      <c r="BI691" s="173"/>
      <c r="BJ691" s="173"/>
      <c r="BK691" s="173"/>
      <c r="BL691" s="173"/>
      <c r="BM691" s="173"/>
    </row>
    <row r="692" spans="1:65">
      <c r="A692" s="173"/>
      <c r="B692" s="173"/>
      <c r="C692" s="173"/>
      <c r="D692" s="173"/>
      <c r="E692" s="173"/>
      <c r="F692" s="173"/>
      <c r="G692" s="173"/>
      <c r="H692" s="173"/>
      <c r="I692" s="173"/>
      <c r="J692" s="173"/>
      <c r="K692" s="322"/>
      <c r="L692" s="173"/>
      <c r="M692" s="173"/>
      <c r="Q692" s="173"/>
      <c r="R692" s="173"/>
      <c r="S692" s="173"/>
      <c r="T692" s="173"/>
      <c r="U692" s="173"/>
      <c r="V692" s="173"/>
      <c r="W692" s="173"/>
      <c r="X692" s="173"/>
      <c r="Y692" s="173"/>
      <c r="Z692" s="173"/>
      <c r="AA692" s="173"/>
      <c r="AB692" s="173"/>
      <c r="AC692" s="173"/>
      <c r="AD692" s="173"/>
      <c r="AE692" s="173"/>
      <c r="AF692" s="173"/>
      <c r="AG692" s="173"/>
      <c r="AH692" s="173"/>
      <c r="AI692" s="173"/>
      <c r="AJ692" s="173"/>
      <c r="AK692" s="173"/>
      <c r="AL692" s="173"/>
      <c r="AM692" s="173"/>
      <c r="AN692" s="173"/>
      <c r="AO692" s="173"/>
      <c r="AP692" s="173"/>
      <c r="AQ692" s="173"/>
      <c r="AR692" s="173"/>
      <c r="AS692" s="173"/>
      <c r="AT692" s="173"/>
      <c r="AU692" s="173"/>
      <c r="AV692" s="173"/>
      <c r="AW692" s="173"/>
      <c r="AX692" s="173"/>
      <c r="AY692" s="173"/>
      <c r="AZ692" s="173"/>
      <c r="BA692" s="173"/>
      <c r="BB692" s="173"/>
      <c r="BC692" s="173"/>
      <c r="BD692" s="173"/>
      <c r="BE692" s="173"/>
      <c r="BF692" s="173"/>
      <c r="BG692" s="173"/>
      <c r="BH692" s="173"/>
      <c r="BI692" s="173"/>
      <c r="BJ692" s="173"/>
      <c r="BK692" s="173"/>
      <c r="BL692" s="173"/>
      <c r="BM692" s="173"/>
    </row>
    <row r="693" spans="1:65">
      <c r="A693" s="173"/>
      <c r="B693" s="173"/>
      <c r="C693" s="173"/>
      <c r="D693" s="173"/>
      <c r="E693" s="173"/>
      <c r="F693" s="173"/>
      <c r="G693" s="173"/>
      <c r="H693" s="173"/>
      <c r="I693" s="173"/>
      <c r="J693" s="173"/>
      <c r="K693" s="322"/>
      <c r="L693" s="173"/>
      <c r="M693" s="173"/>
      <c r="Q693" s="173"/>
      <c r="R693" s="173"/>
      <c r="S693" s="173"/>
      <c r="T693" s="173"/>
      <c r="U693" s="173"/>
      <c r="V693" s="173"/>
      <c r="W693" s="173"/>
      <c r="X693" s="173"/>
      <c r="Y693" s="173"/>
      <c r="Z693" s="173"/>
      <c r="AA693" s="173"/>
      <c r="AB693" s="173"/>
      <c r="AC693" s="173"/>
      <c r="AD693" s="173"/>
      <c r="AE693" s="173"/>
      <c r="AF693" s="173"/>
      <c r="AG693" s="173"/>
      <c r="AH693" s="173"/>
      <c r="AI693" s="173"/>
      <c r="AJ693" s="173"/>
      <c r="AK693" s="173"/>
      <c r="AL693" s="173"/>
      <c r="AM693" s="173"/>
      <c r="AN693" s="173"/>
      <c r="AO693" s="173"/>
      <c r="AP693" s="173"/>
      <c r="AQ693" s="173"/>
      <c r="AR693" s="173"/>
      <c r="AS693" s="173"/>
      <c r="AT693" s="173"/>
      <c r="AU693" s="173"/>
      <c r="AV693" s="173"/>
      <c r="AW693" s="173"/>
      <c r="AX693" s="173"/>
      <c r="AY693" s="173"/>
      <c r="AZ693" s="173"/>
      <c r="BA693" s="173"/>
      <c r="BB693" s="173"/>
      <c r="BC693" s="173"/>
      <c r="BD693" s="173"/>
      <c r="BE693" s="173"/>
      <c r="BF693" s="173"/>
      <c r="BG693" s="173"/>
      <c r="BH693" s="173"/>
      <c r="BI693" s="173"/>
      <c r="BJ693" s="173"/>
      <c r="BK693" s="173"/>
      <c r="BL693" s="173"/>
      <c r="BM693" s="173"/>
    </row>
    <row r="694" spans="1:65">
      <c r="A694" s="173"/>
      <c r="B694" s="173"/>
      <c r="C694" s="173"/>
      <c r="D694" s="173"/>
      <c r="E694" s="173"/>
      <c r="F694" s="173"/>
      <c r="G694" s="173"/>
      <c r="H694" s="173"/>
      <c r="I694" s="173"/>
      <c r="J694" s="173"/>
      <c r="K694" s="322"/>
      <c r="L694" s="173"/>
      <c r="M694" s="173"/>
      <c r="Q694" s="173"/>
      <c r="R694" s="173"/>
      <c r="S694" s="173"/>
      <c r="T694" s="173"/>
      <c r="U694" s="173"/>
      <c r="V694" s="173"/>
      <c r="W694" s="173"/>
      <c r="X694" s="173"/>
      <c r="Y694" s="173"/>
      <c r="Z694" s="173"/>
      <c r="AA694" s="173"/>
      <c r="AB694" s="173"/>
      <c r="AC694" s="173"/>
      <c r="AD694" s="173"/>
      <c r="AE694" s="173"/>
      <c r="AF694" s="173"/>
      <c r="AG694" s="173"/>
      <c r="AH694" s="173"/>
      <c r="AI694" s="173"/>
      <c r="AJ694" s="173"/>
      <c r="AK694" s="173"/>
      <c r="AL694" s="173"/>
      <c r="AM694" s="173"/>
      <c r="AN694" s="173"/>
      <c r="AO694" s="173"/>
      <c r="AP694" s="173"/>
      <c r="AQ694" s="173"/>
      <c r="AR694" s="173"/>
      <c r="AS694" s="173"/>
      <c r="AT694" s="173"/>
      <c r="AU694" s="173"/>
      <c r="AV694" s="173"/>
      <c r="AW694" s="173"/>
      <c r="AX694" s="173"/>
      <c r="AY694" s="173"/>
      <c r="AZ694" s="173"/>
      <c r="BA694" s="173"/>
      <c r="BB694" s="173"/>
      <c r="BC694" s="173"/>
      <c r="BD694" s="173"/>
      <c r="BE694" s="173"/>
      <c r="BF694" s="173"/>
      <c r="BG694" s="173"/>
      <c r="BH694" s="173"/>
      <c r="BI694" s="173"/>
      <c r="BJ694" s="173"/>
      <c r="BK694" s="173"/>
      <c r="BL694" s="173"/>
      <c r="BM694" s="173"/>
    </row>
    <row r="695" spans="1:65">
      <c r="A695" s="173"/>
      <c r="B695" s="173"/>
      <c r="C695" s="173"/>
      <c r="D695" s="173"/>
      <c r="E695" s="173"/>
      <c r="F695" s="173"/>
      <c r="G695" s="173"/>
      <c r="H695" s="173"/>
      <c r="I695" s="173"/>
      <c r="J695" s="173"/>
      <c r="K695" s="322"/>
      <c r="L695" s="173"/>
      <c r="M695" s="173"/>
      <c r="Q695" s="173"/>
      <c r="R695" s="173"/>
      <c r="S695" s="173"/>
      <c r="T695" s="173"/>
      <c r="U695" s="173"/>
      <c r="V695" s="173"/>
      <c r="W695" s="173"/>
      <c r="X695" s="173"/>
      <c r="Y695" s="173"/>
      <c r="Z695" s="173"/>
      <c r="AA695" s="173"/>
      <c r="AB695" s="173"/>
      <c r="AC695" s="173"/>
      <c r="AD695" s="173"/>
      <c r="AE695" s="173"/>
      <c r="AF695" s="173"/>
      <c r="AG695" s="173"/>
      <c r="AH695" s="173"/>
      <c r="AI695" s="173"/>
      <c r="AJ695" s="173"/>
      <c r="AK695" s="173"/>
      <c r="AL695" s="173"/>
      <c r="AM695" s="173"/>
      <c r="AN695" s="173"/>
      <c r="AO695" s="173"/>
      <c r="AP695" s="173"/>
      <c r="AQ695" s="173"/>
      <c r="AR695" s="173"/>
      <c r="AS695" s="173"/>
      <c r="AT695" s="173"/>
      <c r="AU695" s="173"/>
      <c r="AV695" s="173"/>
      <c r="AW695" s="173"/>
      <c r="AX695" s="173"/>
      <c r="AY695" s="173"/>
      <c r="AZ695" s="173"/>
      <c r="BA695" s="173"/>
      <c r="BB695" s="173"/>
      <c r="BC695" s="173"/>
      <c r="BD695" s="173"/>
      <c r="BE695" s="173"/>
      <c r="BF695" s="173"/>
      <c r="BG695" s="173"/>
      <c r="BH695" s="173"/>
      <c r="BI695" s="173"/>
      <c r="BJ695" s="173"/>
      <c r="BK695" s="173"/>
      <c r="BL695" s="173"/>
      <c r="BM695" s="173"/>
    </row>
    <row r="696" spans="1:65">
      <c r="A696" s="173"/>
      <c r="B696" s="173"/>
      <c r="C696" s="173"/>
      <c r="D696" s="173"/>
      <c r="E696" s="173"/>
      <c r="F696" s="173"/>
      <c r="G696" s="173"/>
      <c r="H696" s="173"/>
      <c r="I696" s="173"/>
      <c r="J696" s="173"/>
      <c r="K696" s="322"/>
      <c r="L696" s="173"/>
      <c r="M696" s="173"/>
      <c r="Q696" s="173"/>
      <c r="R696" s="173"/>
      <c r="S696" s="173"/>
      <c r="T696" s="173"/>
      <c r="U696" s="173"/>
      <c r="V696" s="173"/>
      <c r="W696" s="173"/>
      <c r="X696" s="173"/>
      <c r="Y696" s="173"/>
      <c r="Z696" s="173"/>
      <c r="AA696" s="173"/>
      <c r="AB696" s="173"/>
      <c r="AC696" s="173"/>
      <c r="AD696" s="173"/>
      <c r="AE696" s="173"/>
      <c r="AF696" s="173"/>
      <c r="AG696" s="173"/>
      <c r="AH696" s="173"/>
      <c r="AI696" s="173"/>
      <c r="AJ696" s="173"/>
      <c r="AK696" s="173"/>
      <c r="AL696" s="173"/>
      <c r="AM696" s="173"/>
      <c r="AN696" s="173"/>
      <c r="AO696" s="173"/>
      <c r="AP696" s="173"/>
      <c r="AQ696" s="173"/>
      <c r="AR696" s="173"/>
      <c r="AS696" s="173"/>
      <c r="AT696" s="173"/>
      <c r="AU696" s="173"/>
      <c r="AV696" s="173"/>
      <c r="AW696" s="173"/>
      <c r="AX696" s="173"/>
      <c r="AY696" s="173"/>
      <c r="AZ696" s="173"/>
      <c r="BA696" s="173"/>
      <c r="BB696" s="173"/>
      <c r="BC696" s="173"/>
      <c r="BD696" s="173"/>
      <c r="BE696" s="173"/>
      <c r="BF696" s="173"/>
      <c r="BG696" s="173"/>
      <c r="BH696" s="173"/>
      <c r="BI696" s="173"/>
      <c r="BJ696" s="173"/>
      <c r="BK696" s="173"/>
      <c r="BL696" s="173"/>
      <c r="BM696" s="173"/>
    </row>
    <row r="697" spans="1:65">
      <c r="A697" s="173"/>
      <c r="B697" s="173"/>
      <c r="C697" s="173"/>
      <c r="D697" s="173"/>
      <c r="E697" s="173"/>
      <c r="F697" s="173"/>
      <c r="G697" s="173"/>
      <c r="H697" s="173"/>
      <c r="I697" s="173"/>
      <c r="J697" s="173"/>
      <c r="K697" s="322"/>
      <c r="L697" s="173"/>
      <c r="M697" s="173"/>
      <c r="Q697" s="173"/>
      <c r="R697" s="173"/>
      <c r="S697" s="173"/>
      <c r="T697" s="173"/>
      <c r="U697" s="173"/>
      <c r="V697" s="173"/>
      <c r="W697" s="173"/>
      <c r="X697" s="173"/>
      <c r="Y697" s="173"/>
      <c r="Z697" s="173"/>
      <c r="AA697" s="173"/>
      <c r="AB697" s="173"/>
      <c r="AC697" s="173"/>
      <c r="AD697" s="173"/>
      <c r="AE697" s="173"/>
      <c r="AF697" s="173"/>
      <c r="AG697" s="173"/>
      <c r="AH697" s="173"/>
      <c r="AI697" s="173"/>
      <c r="AJ697" s="173"/>
      <c r="AK697" s="173"/>
      <c r="AL697" s="173"/>
      <c r="AM697" s="173"/>
      <c r="AN697" s="173"/>
      <c r="AO697" s="173"/>
      <c r="AP697" s="173"/>
      <c r="AQ697" s="173"/>
      <c r="AR697" s="173"/>
      <c r="AS697" s="173"/>
      <c r="AT697" s="173"/>
      <c r="AU697" s="173"/>
      <c r="AV697" s="173"/>
      <c r="AW697" s="173"/>
      <c r="AX697" s="173"/>
      <c r="AY697" s="173"/>
      <c r="AZ697" s="173"/>
      <c r="BA697" s="173"/>
      <c r="BB697" s="173"/>
      <c r="BC697" s="173"/>
      <c r="BD697" s="173"/>
      <c r="BE697" s="173"/>
      <c r="BF697" s="173"/>
      <c r="BG697" s="173"/>
      <c r="BH697" s="173"/>
      <c r="BI697" s="173"/>
      <c r="BJ697" s="173"/>
      <c r="BK697" s="173"/>
      <c r="BL697" s="173"/>
      <c r="BM697" s="173"/>
    </row>
    <row r="698" spans="1:65">
      <c r="A698" s="173"/>
      <c r="B698" s="173"/>
      <c r="C698" s="173"/>
      <c r="D698" s="173"/>
      <c r="E698" s="173"/>
      <c r="F698" s="173"/>
      <c r="G698" s="173"/>
      <c r="H698" s="173"/>
      <c r="I698" s="173"/>
      <c r="J698" s="173"/>
      <c r="K698" s="322"/>
      <c r="L698" s="173"/>
      <c r="M698" s="173"/>
      <c r="Q698" s="173"/>
      <c r="R698" s="173"/>
      <c r="S698" s="173"/>
      <c r="T698" s="173"/>
      <c r="U698" s="173"/>
      <c r="V698" s="173"/>
      <c r="W698" s="173"/>
      <c r="X698" s="173"/>
      <c r="Y698" s="173"/>
      <c r="Z698" s="173"/>
      <c r="AA698" s="173"/>
      <c r="AB698" s="173"/>
      <c r="AC698" s="173"/>
      <c r="AD698" s="173"/>
      <c r="AE698" s="173"/>
      <c r="AF698" s="173"/>
      <c r="AG698" s="173"/>
      <c r="AH698" s="173"/>
      <c r="AI698" s="173"/>
      <c r="AJ698" s="173"/>
      <c r="AK698" s="173"/>
      <c r="AL698" s="173"/>
      <c r="AM698" s="173"/>
      <c r="AN698" s="173"/>
      <c r="AO698" s="173"/>
      <c r="AP698" s="173"/>
      <c r="AQ698" s="173"/>
      <c r="AR698" s="173"/>
      <c r="AS698" s="173"/>
      <c r="AT698" s="173"/>
      <c r="AU698" s="173"/>
      <c r="AV698" s="173"/>
      <c r="AW698" s="173"/>
      <c r="AX698" s="173"/>
      <c r="AY698" s="173"/>
      <c r="AZ698" s="173"/>
      <c r="BA698" s="173"/>
      <c r="BB698" s="173"/>
      <c r="BC698" s="173"/>
      <c r="BD698" s="173"/>
      <c r="BE698" s="173"/>
      <c r="BF698" s="173"/>
      <c r="BG698" s="173"/>
      <c r="BH698" s="173"/>
      <c r="BI698" s="173"/>
      <c r="BJ698" s="173"/>
      <c r="BK698" s="173"/>
      <c r="BL698" s="173"/>
      <c r="BM698" s="173"/>
    </row>
    <row r="699" spans="1:65">
      <c r="A699" s="173"/>
      <c r="B699" s="173"/>
      <c r="C699" s="173"/>
      <c r="D699" s="173"/>
      <c r="E699" s="173"/>
      <c r="F699" s="173"/>
      <c r="G699" s="173"/>
      <c r="H699" s="173"/>
      <c r="I699" s="173"/>
      <c r="J699" s="173"/>
      <c r="K699" s="322"/>
      <c r="L699" s="173"/>
      <c r="M699" s="173"/>
      <c r="Q699" s="173"/>
      <c r="R699" s="173"/>
      <c r="S699" s="173"/>
      <c r="T699" s="173"/>
      <c r="U699" s="173"/>
      <c r="V699" s="173"/>
      <c r="W699" s="173"/>
      <c r="X699" s="173"/>
      <c r="Y699" s="173"/>
      <c r="Z699" s="173"/>
      <c r="AA699" s="173"/>
      <c r="AB699" s="173"/>
      <c r="AC699" s="173"/>
      <c r="AD699" s="173"/>
      <c r="AE699" s="173"/>
      <c r="AF699" s="173"/>
      <c r="AG699" s="173"/>
      <c r="AH699" s="173"/>
      <c r="AI699" s="173"/>
      <c r="AJ699" s="173"/>
      <c r="AK699" s="173"/>
      <c r="AL699" s="173"/>
      <c r="AM699" s="173"/>
      <c r="AN699" s="173"/>
      <c r="AO699" s="173"/>
      <c r="AP699" s="173"/>
      <c r="AQ699" s="173"/>
      <c r="AR699" s="173"/>
      <c r="AS699" s="173"/>
      <c r="AT699" s="173"/>
      <c r="AU699" s="173"/>
      <c r="AV699" s="173"/>
      <c r="AW699" s="173"/>
      <c r="AX699" s="173"/>
      <c r="AY699" s="173"/>
      <c r="AZ699" s="173"/>
      <c r="BA699" s="173"/>
      <c r="BB699" s="173"/>
      <c r="BC699" s="173"/>
      <c r="BD699" s="173"/>
      <c r="BE699" s="173"/>
      <c r="BF699" s="173"/>
      <c r="BG699" s="173"/>
      <c r="BH699" s="173"/>
      <c r="BI699" s="173"/>
      <c r="BJ699" s="173"/>
      <c r="BK699" s="173"/>
      <c r="BL699" s="173"/>
      <c r="BM699" s="173"/>
    </row>
    <row r="700" spans="1:65">
      <c r="A700" s="173"/>
      <c r="B700" s="173"/>
      <c r="C700" s="173"/>
      <c r="D700" s="173"/>
      <c r="E700" s="173"/>
      <c r="F700" s="173"/>
      <c r="G700" s="173"/>
      <c r="H700" s="173"/>
      <c r="I700" s="173"/>
      <c r="J700" s="173"/>
      <c r="K700" s="322"/>
      <c r="L700" s="173"/>
      <c r="M700" s="173"/>
      <c r="Q700" s="173"/>
      <c r="R700" s="173"/>
      <c r="S700" s="173"/>
      <c r="T700" s="173"/>
      <c r="U700" s="173"/>
      <c r="V700" s="173"/>
      <c r="W700" s="173"/>
      <c r="X700" s="173"/>
      <c r="Y700" s="173"/>
      <c r="Z700" s="173"/>
      <c r="AA700" s="173"/>
      <c r="AB700" s="173"/>
      <c r="AC700" s="173"/>
      <c r="AD700" s="173"/>
      <c r="AE700" s="173"/>
      <c r="AF700" s="173"/>
      <c r="AG700" s="173"/>
      <c r="AH700" s="173"/>
      <c r="AI700" s="173"/>
      <c r="AJ700" s="173"/>
      <c r="AK700" s="173"/>
      <c r="AL700" s="173"/>
      <c r="AM700" s="173"/>
      <c r="AN700" s="173"/>
      <c r="AO700" s="173"/>
      <c r="AP700" s="173"/>
      <c r="AQ700" s="173"/>
      <c r="AR700" s="173"/>
      <c r="AS700" s="173"/>
      <c r="AT700" s="173"/>
      <c r="AU700" s="173"/>
      <c r="AV700" s="173"/>
      <c r="AW700" s="173"/>
      <c r="AX700" s="173"/>
      <c r="AY700" s="173"/>
      <c r="AZ700" s="173"/>
      <c r="BA700" s="173"/>
      <c r="BB700" s="173"/>
      <c r="BC700" s="173"/>
      <c r="BD700" s="173"/>
      <c r="BE700" s="173"/>
      <c r="BF700" s="173"/>
      <c r="BG700" s="173"/>
      <c r="BH700" s="173"/>
      <c r="BI700" s="173"/>
      <c r="BJ700" s="173"/>
      <c r="BK700" s="173"/>
      <c r="BL700" s="173"/>
      <c r="BM700" s="173"/>
    </row>
    <row r="701" spans="1:65">
      <c r="A701" s="173"/>
      <c r="B701" s="173"/>
      <c r="C701" s="173"/>
      <c r="D701" s="173"/>
      <c r="E701" s="173"/>
      <c r="F701" s="173"/>
      <c r="G701" s="173"/>
      <c r="H701" s="173"/>
      <c r="I701" s="173"/>
      <c r="J701" s="173"/>
      <c r="K701" s="322"/>
      <c r="L701" s="173"/>
      <c r="M701" s="173"/>
      <c r="Q701" s="173"/>
      <c r="R701" s="173"/>
      <c r="S701" s="173"/>
      <c r="T701" s="173"/>
      <c r="U701" s="173"/>
      <c r="V701" s="173"/>
      <c r="W701" s="173"/>
      <c r="X701" s="173"/>
      <c r="Y701" s="173"/>
      <c r="Z701" s="173"/>
      <c r="AA701" s="173"/>
      <c r="AB701" s="173"/>
      <c r="AC701" s="173"/>
      <c r="AD701" s="173"/>
      <c r="AE701" s="173"/>
      <c r="AF701" s="173"/>
      <c r="AG701" s="173"/>
      <c r="AH701" s="173"/>
      <c r="AI701" s="173"/>
      <c r="AJ701" s="173"/>
      <c r="AK701" s="173"/>
      <c r="AL701" s="173"/>
      <c r="AM701" s="173"/>
      <c r="AN701" s="173"/>
      <c r="AO701" s="173"/>
      <c r="AP701" s="173"/>
      <c r="AQ701" s="173"/>
      <c r="AR701" s="173"/>
      <c r="AS701" s="173"/>
      <c r="AT701" s="173"/>
      <c r="AU701" s="173"/>
      <c r="AV701" s="173"/>
      <c r="AW701" s="173"/>
      <c r="AX701" s="173"/>
      <c r="AY701" s="173"/>
      <c r="AZ701" s="173"/>
      <c r="BA701" s="173"/>
      <c r="BB701" s="173"/>
      <c r="BC701" s="173"/>
      <c r="BD701" s="173"/>
      <c r="BE701" s="173"/>
      <c r="BF701" s="173"/>
      <c r="BG701" s="173"/>
      <c r="BH701" s="173"/>
      <c r="BI701" s="173"/>
      <c r="BJ701" s="173"/>
      <c r="BK701" s="173"/>
      <c r="BL701" s="173"/>
      <c r="BM701" s="173"/>
    </row>
    <row r="702" spans="1:65">
      <c r="A702" s="173"/>
      <c r="B702" s="173"/>
      <c r="C702" s="173"/>
      <c r="D702" s="173"/>
      <c r="E702" s="173"/>
      <c r="F702" s="173"/>
      <c r="G702" s="173"/>
      <c r="H702" s="173"/>
      <c r="I702" s="173"/>
      <c r="J702" s="173"/>
      <c r="K702" s="322"/>
      <c r="L702" s="173"/>
      <c r="M702" s="173"/>
      <c r="Q702" s="173"/>
      <c r="R702" s="173"/>
      <c r="S702" s="173"/>
      <c r="T702" s="173"/>
      <c r="U702" s="173"/>
      <c r="V702" s="173"/>
      <c r="W702" s="173"/>
      <c r="X702" s="173"/>
      <c r="Y702" s="173"/>
      <c r="Z702" s="173"/>
      <c r="AA702" s="173"/>
      <c r="AB702" s="173"/>
      <c r="AC702" s="173"/>
      <c r="AD702" s="173"/>
      <c r="AE702" s="173"/>
      <c r="AF702" s="173"/>
      <c r="AG702" s="173"/>
      <c r="AH702" s="173"/>
      <c r="AI702" s="173"/>
      <c r="AJ702" s="173"/>
      <c r="AK702" s="173"/>
      <c r="AL702" s="173"/>
      <c r="AM702" s="173"/>
      <c r="AN702" s="173"/>
      <c r="AO702" s="173"/>
      <c r="AP702" s="173"/>
      <c r="AQ702" s="173"/>
      <c r="AR702" s="173"/>
      <c r="AS702" s="173"/>
      <c r="AT702" s="173"/>
      <c r="AU702" s="173"/>
      <c r="AV702" s="173"/>
      <c r="AW702" s="173"/>
      <c r="AX702" s="173"/>
      <c r="AY702" s="173"/>
      <c r="AZ702" s="173"/>
      <c r="BA702" s="173"/>
      <c r="BB702" s="173"/>
      <c r="BC702" s="173"/>
      <c r="BD702" s="173"/>
      <c r="BE702" s="173"/>
      <c r="BF702" s="173"/>
      <c r="BG702" s="173"/>
      <c r="BH702" s="173"/>
      <c r="BI702" s="173"/>
      <c r="BJ702" s="173"/>
      <c r="BK702" s="173"/>
      <c r="BL702" s="173"/>
      <c r="BM702" s="173"/>
    </row>
    <row r="703" spans="1:65">
      <c r="A703" s="173"/>
      <c r="B703" s="173"/>
      <c r="C703" s="173"/>
      <c r="D703" s="173"/>
      <c r="E703" s="173"/>
      <c r="F703" s="173"/>
      <c r="G703" s="173"/>
      <c r="H703" s="173"/>
      <c r="I703" s="173"/>
      <c r="J703" s="173"/>
      <c r="K703" s="322"/>
      <c r="L703" s="173"/>
      <c r="M703" s="173"/>
      <c r="Q703" s="173"/>
      <c r="R703" s="173"/>
      <c r="S703" s="173"/>
      <c r="T703" s="173"/>
      <c r="U703" s="173"/>
      <c r="V703" s="173"/>
      <c r="W703" s="173"/>
      <c r="X703" s="173"/>
      <c r="Y703" s="173"/>
      <c r="Z703" s="173"/>
      <c r="AA703" s="173"/>
      <c r="AB703" s="173"/>
      <c r="AC703" s="173"/>
      <c r="AD703" s="173"/>
      <c r="AE703" s="173"/>
      <c r="AF703" s="173"/>
      <c r="AG703" s="173"/>
      <c r="AH703" s="173"/>
      <c r="AI703" s="173"/>
      <c r="AJ703" s="173"/>
      <c r="AK703" s="173"/>
      <c r="AL703" s="173"/>
      <c r="AM703" s="173"/>
      <c r="AN703" s="173"/>
      <c r="AO703" s="173"/>
      <c r="AP703" s="173"/>
      <c r="AQ703" s="173"/>
      <c r="AR703" s="173"/>
      <c r="AS703" s="173"/>
      <c r="AT703" s="173"/>
      <c r="AU703" s="173"/>
      <c r="AV703" s="173"/>
      <c r="AW703" s="173"/>
      <c r="AX703" s="173"/>
      <c r="AY703" s="173"/>
      <c r="AZ703" s="173"/>
      <c r="BA703" s="173"/>
      <c r="BB703" s="173"/>
      <c r="BC703" s="173"/>
      <c r="BD703" s="173"/>
      <c r="BE703" s="173"/>
      <c r="BF703" s="173"/>
      <c r="BG703" s="173"/>
      <c r="BH703" s="173"/>
      <c r="BI703" s="173"/>
      <c r="BJ703" s="173"/>
      <c r="BK703" s="173"/>
      <c r="BL703" s="173"/>
      <c r="BM703" s="173"/>
    </row>
    <row r="704" spans="1:65">
      <c r="A704" s="173"/>
      <c r="B704" s="173"/>
      <c r="C704" s="173"/>
      <c r="D704" s="173"/>
      <c r="E704" s="173"/>
      <c r="F704" s="173"/>
      <c r="G704" s="173"/>
      <c r="H704" s="173"/>
      <c r="I704" s="173"/>
      <c r="J704" s="173"/>
      <c r="K704" s="322"/>
      <c r="L704" s="173"/>
      <c r="M704" s="173"/>
      <c r="Q704" s="173"/>
      <c r="R704" s="173"/>
      <c r="S704" s="173"/>
      <c r="T704" s="173"/>
      <c r="U704" s="173"/>
      <c r="V704" s="173"/>
      <c r="W704" s="173"/>
      <c r="X704" s="173"/>
      <c r="Y704" s="173"/>
      <c r="Z704" s="173"/>
      <c r="AA704" s="173"/>
      <c r="AB704" s="173"/>
      <c r="AC704" s="173"/>
      <c r="AD704" s="173"/>
      <c r="AE704" s="173"/>
      <c r="AF704" s="173"/>
      <c r="AG704" s="173"/>
      <c r="AH704" s="173"/>
      <c r="AI704" s="173"/>
      <c r="AJ704" s="173"/>
      <c r="AK704" s="173"/>
      <c r="AL704" s="173"/>
      <c r="AM704" s="173"/>
      <c r="AN704" s="173"/>
      <c r="AO704" s="173"/>
      <c r="AP704" s="173"/>
      <c r="AQ704" s="173"/>
      <c r="AR704" s="173"/>
      <c r="AS704" s="173"/>
      <c r="AT704" s="173"/>
      <c r="AU704" s="173"/>
      <c r="AV704" s="173"/>
      <c r="AW704" s="173"/>
      <c r="AX704" s="173"/>
      <c r="AY704" s="173"/>
      <c r="AZ704" s="173"/>
      <c r="BA704" s="173"/>
      <c r="BB704" s="173"/>
      <c r="BC704" s="173"/>
      <c r="BD704" s="173"/>
      <c r="BE704" s="173"/>
      <c r="BF704" s="173"/>
      <c r="BG704" s="173"/>
      <c r="BH704" s="173"/>
      <c r="BI704" s="173"/>
      <c r="BJ704" s="173"/>
      <c r="BK704" s="173"/>
      <c r="BL704" s="173"/>
      <c r="BM704" s="173"/>
    </row>
    <row r="705" spans="1:65">
      <c r="A705" s="173"/>
      <c r="B705" s="173"/>
      <c r="C705" s="173"/>
      <c r="D705" s="173"/>
      <c r="E705" s="173"/>
      <c r="F705" s="173"/>
      <c r="G705" s="173"/>
      <c r="H705" s="173"/>
      <c r="I705" s="173"/>
      <c r="J705" s="173"/>
      <c r="K705" s="322"/>
      <c r="L705" s="173"/>
      <c r="M705" s="173"/>
      <c r="Q705" s="173"/>
      <c r="R705" s="173"/>
      <c r="S705" s="173"/>
      <c r="T705" s="173"/>
      <c r="U705" s="173"/>
      <c r="V705" s="173"/>
      <c r="W705" s="173"/>
      <c r="X705" s="173"/>
      <c r="Y705" s="173"/>
      <c r="Z705" s="173"/>
      <c r="AA705" s="173"/>
      <c r="AB705" s="173"/>
      <c r="AC705" s="173"/>
      <c r="AD705" s="173"/>
      <c r="AE705" s="173"/>
      <c r="AF705" s="173"/>
      <c r="AG705" s="173"/>
      <c r="AH705" s="173"/>
      <c r="AI705" s="173"/>
      <c r="AJ705" s="173"/>
      <c r="AK705" s="173"/>
      <c r="AL705" s="173"/>
      <c r="AM705" s="173"/>
      <c r="AN705" s="173"/>
      <c r="AO705" s="173"/>
      <c r="AP705" s="173"/>
      <c r="AQ705" s="173"/>
      <c r="AR705" s="173"/>
      <c r="AS705" s="173"/>
      <c r="AT705" s="173"/>
      <c r="AU705" s="173"/>
      <c r="AV705" s="173"/>
      <c r="AW705" s="173"/>
      <c r="AX705" s="173"/>
      <c r="AY705" s="173"/>
      <c r="AZ705" s="173"/>
      <c r="BA705" s="173"/>
      <c r="BB705" s="173"/>
      <c r="BC705" s="173"/>
      <c r="BD705" s="173"/>
      <c r="BE705" s="173"/>
      <c r="BF705" s="173"/>
      <c r="BG705" s="173"/>
      <c r="BH705" s="173"/>
      <c r="BI705" s="173"/>
      <c r="BJ705" s="173"/>
      <c r="BK705" s="173"/>
      <c r="BL705" s="173"/>
      <c r="BM705" s="173"/>
    </row>
    <row r="706" spans="1:65">
      <c r="A706" s="173"/>
      <c r="B706" s="173"/>
      <c r="C706" s="173"/>
      <c r="D706" s="173"/>
      <c r="E706" s="173"/>
      <c r="F706" s="173"/>
      <c r="G706" s="173"/>
      <c r="H706" s="173"/>
      <c r="I706" s="173"/>
      <c r="J706" s="173"/>
      <c r="K706" s="322"/>
      <c r="L706" s="173"/>
      <c r="M706" s="173"/>
      <c r="Q706" s="173"/>
      <c r="R706" s="173"/>
      <c r="S706" s="173"/>
      <c r="T706" s="173"/>
      <c r="U706" s="173"/>
      <c r="V706" s="173"/>
      <c r="W706" s="173"/>
      <c r="X706" s="173"/>
      <c r="Y706" s="173"/>
      <c r="Z706" s="173"/>
      <c r="AA706" s="173"/>
      <c r="AB706" s="173"/>
      <c r="AC706" s="173"/>
      <c r="AD706" s="173"/>
      <c r="AE706" s="173"/>
      <c r="AF706" s="173"/>
      <c r="AG706" s="173"/>
      <c r="AH706" s="173"/>
      <c r="AI706" s="173"/>
      <c r="AJ706" s="173"/>
      <c r="AK706" s="173"/>
      <c r="AL706" s="173"/>
      <c r="AM706" s="173"/>
      <c r="AN706" s="173"/>
      <c r="AO706" s="173"/>
      <c r="AP706" s="173"/>
      <c r="AQ706" s="173"/>
      <c r="AR706" s="173"/>
      <c r="AS706" s="173"/>
      <c r="AT706" s="173"/>
      <c r="AU706" s="173"/>
      <c r="AV706" s="173"/>
      <c r="AW706" s="173"/>
      <c r="AX706" s="173"/>
      <c r="AY706" s="173"/>
      <c r="AZ706" s="173"/>
      <c r="BA706" s="173"/>
      <c r="BB706" s="173"/>
      <c r="BC706" s="173"/>
      <c r="BD706" s="173"/>
      <c r="BE706" s="173"/>
      <c r="BF706" s="173"/>
      <c r="BG706" s="173"/>
      <c r="BH706" s="173"/>
      <c r="BI706" s="173"/>
      <c r="BJ706" s="173"/>
      <c r="BK706" s="173"/>
      <c r="BL706" s="173"/>
      <c r="BM706" s="173"/>
    </row>
    <row r="707" spans="1:65">
      <c r="A707" s="173"/>
      <c r="B707" s="173"/>
      <c r="C707" s="173"/>
      <c r="D707" s="173"/>
      <c r="E707" s="173"/>
      <c r="F707" s="173"/>
      <c r="G707" s="173"/>
      <c r="H707" s="173"/>
      <c r="I707" s="173"/>
      <c r="J707" s="173"/>
      <c r="K707" s="322"/>
      <c r="L707" s="173"/>
      <c r="M707" s="173"/>
      <c r="Q707" s="173"/>
      <c r="R707" s="173"/>
      <c r="S707" s="173"/>
      <c r="T707" s="173"/>
      <c r="U707" s="173"/>
      <c r="V707" s="173"/>
      <c r="W707" s="173"/>
      <c r="X707" s="173"/>
      <c r="Y707" s="173"/>
      <c r="Z707" s="173"/>
      <c r="AA707" s="173"/>
      <c r="AB707" s="173"/>
      <c r="AC707" s="173"/>
      <c r="AD707" s="173"/>
      <c r="AE707" s="173"/>
      <c r="AF707" s="173"/>
      <c r="AG707" s="173"/>
      <c r="AH707" s="173"/>
      <c r="AI707" s="173"/>
      <c r="AJ707" s="173"/>
      <c r="AK707" s="173"/>
      <c r="AL707" s="173"/>
      <c r="AM707" s="173"/>
      <c r="AN707" s="173"/>
      <c r="AO707" s="173"/>
      <c r="AP707" s="173"/>
      <c r="AQ707" s="173"/>
      <c r="AR707" s="173"/>
      <c r="AS707" s="173"/>
      <c r="AT707" s="173"/>
      <c r="AU707" s="173"/>
      <c r="AV707" s="173"/>
      <c r="AW707" s="173"/>
      <c r="AX707" s="173"/>
      <c r="AY707" s="173"/>
      <c r="AZ707" s="173"/>
      <c r="BA707" s="173"/>
      <c r="BB707" s="173"/>
      <c r="BC707" s="173"/>
      <c r="BD707" s="173"/>
      <c r="BE707" s="173"/>
      <c r="BF707" s="173"/>
      <c r="BG707" s="173"/>
      <c r="BH707" s="173"/>
      <c r="BI707" s="173"/>
      <c r="BJ707" s="173"/>
      <c r="BK707" s="173"/>
      <c r="BL707" s="173"/>
      <c r="BM707" s="173"/>
    </row>
    <row r="708" spans="1:65">
      <c r="A708" s="173"/>
      <c r="B708" s="173"/>
      <c r="C708" s="173"/>
      <c r="D708" s="173"/>
      <c r="E708" s="173"/>
      <c r="F708" s="173"/>
      <c r="G708" s="173"/>
      <c r="H708" s="173"/>
      <c r="I708" s="173"/>
      <c r="J708" s="173"/>
      <c r="K708" s="322"/>
      <c r="L708" s="173"/>
      <c r="M708" s="173"/>
      <c r="Q708" s="173"/>
      <c r="R708" s="173"/>
      <c r="S708" s="173"/>
      <c r="T708" s="173"/>
      <c r="U708" s="173"/>
      <c r="V708" s="173"/>
      <c r="W708" s="173"/>
      <c r="X708" s="173"/>
      <c r="Y708" s="173"/>
      <c r="Z708" s="173"/>
      <c r="AA708" s="173"/>
      <c r="AB708" s="173"/>
      <c r="AC708" s="173"/>
      <c r="AD708" s="173"/>
      <c r="AE708" s="173"/>
      <c r="AF708" s="173"/>
      <c r="AG708" s="173"/>
      <c r="AH708" s="173"/>
      <c r="AI708" s="173"/>
      <c r="AJ708" s="173"/>
      <c r="AK708" s="173"/>
      <c r="AL708" s="173"/>
      <c r="AM708" s="173"/>
      <c r="AN708" s="173"/>
      <c r="AO708" s="173"/>
      <c r="AP708" s="173"/>
      <c r="AQ708" s="173"/>
      <c r="AR708" s="173"/>
      <c r="AS708" s="173"/>
      <c r="AT708" s="173"/>
      <c r="AU708" s="173"/>
      <c r="AV708" s="173"/>
      <c r="AW708" s="173"/>
      <c r="AX708" s="173"/>
      <c r="AY708" s="173"/>
      <c r="AZ708" s="173"/>
      <c r="BA708" s="173"/>
      <c r="BB708" s="173"/>
      <c r="BC708" s="173"/>
      <c r="BD708" s="173"/>
      <c r="BE708" s="173"/>
      <c r="BF708" s="173"/>
      <c r="BG708" s="173"/>
      <c r="BH708" s="173"/>
      <c r="BI708" s="173"/>
      <c r="BJ708" s="173"/>
      <c r="BK708" s="173"/>
      <c r="BL708" s="173"/>
      <c r="BM708" s="173"/>
    </row>
    <row r="709" spans="1:65">
      <c r="A709" s="173"/>
      <c r="B709" s="173"/>
      <c r="C709" s="173"/>
      <c r="D709" s="173"/>
      <c r="E709" s="173"/>
      <c r="F709" s="173"/>
      <c r="G709" s="173"/>
      <c r="H709" s="173"/>
      <c r="I709" s="173"/>
      <c r="J709" s="173"/>
      <c r="K709" s="322"/>
      <c r="L709" s="173"/>
      <c r="M709" s="173"/>
      <c r="Q709" s="173"/>
      <c r="R709" s="173"/>
      <c r="S709" s="173"/>
      <c r="T709" s="173"/>
      <c r="U709" s="173"/>
      <c r="V709" s="173"/>
      <c r="W709" s="173"/>
      <c r="X709" s="173"/>
      <c r="Y709" s="173"/>
      <c r="Z709" s="173"/>
      <c r="AA709" s="173"/>
      <c r="AB709" s="173"/>
      <c r="AC709" s="173"/>
      <c r="AD709" s="173"/>
      <c r="AE709" s="173"/>
      <c r="AF709" s="173"/>
      <c r="AG709" s="173"/>
      <c r="AH709" s="173"/>
      <c r="AI709" s="173"/>
      <c r="AJ709" s="173"/>
      <c r="AK709" s="173"/>
      <c r="AL709" s="173"/>
      <c r="AM709" s="173"/>
      <c r="AN709" s="173"/>
      <c r="AO709" s="173"/>
      <c r="AP709" s="173"/>
      <c r="AQ709" s="173"/>
      <c r="AR709" s="173"/>
      <c r="AS709" s="173"/>
      <c r="AT709" s="173"/>
      <c r="AU709" s="173"/>
      <c r="AV709" s="173"/>
      <c r="AW709" s="173"/>
      <c r="AX709" s="173"/>
      <c r="AY709" s="173"/>
      <c r="AZ709" s="173"/>
      <c r="BA709" s="173"/>
      <c r="BB709" s="173"/>
      <c r="BC709" s="173"/>
      <c r="BD709" s="173"/>
      <c r="BE709" s="173"/>
      <c r="BF709" s="173"/>
      <c r="BG709" s="173"/>
      <c r="BH709" s="173"/>
      <c r="BI709" s="173"/>
      <c r="BJ709" s="173"/>
      <c r="BK709" s="173"/>
      <c r="BL709" s="173"/>
      <c r="BM709" s="173"/>
    </row>
    <row r="710" spans="1:65">
      <c r="A710" s="173"/>
      <c r="B710" s="173"/>
      <c r="C710" s="173"/>
      <c r="D710" s="173"/>
      <c r="E710" s="173"/>
      <c r="F710" s="173"/>
      <c r="G710" s="173"/>
      <c r="H710" s="173"/>
      <c r="I710" s="173"/>
      <c r="J710" s="173"/>
      <c r="K710" s="322"/>
      <c r="L710" s="173"/>
      <c r="M710" s="173"/>
      <c r="Q710" s="173"/>
      <c r="R710" s="173"/>
      <c r="S710" s="173"/>
      <c r="T710" s="173"/>
      <c r="U710" s="173"/>
      <c r="V710" s="173"/>
      <c r="W710" s="173"/>
      <c r="X710" s="173"/>
      <c r="Y710" s="173"/>
      <c r="Z710" s="173"/>
      <c r="AA710" s="173"/>
      <c r="AB710" s="173"/>
      <c r="AC710" s="173"/>
      <c r="AD710" s="173"/>
      <c r="AE710" s="173"/>
      <c r="AF710" s="173"/>
      <c r="AG710" s="173"/>
      <c r="AH710" s="173"/>
      <c r="AI710" s="173"/>
      <c r="AJ710" s="173"/>
      <c r="AK710" s="173"/>
      <c r="AL710" s="173"/>
      <c r="AM710" s="173"/>
      <c r="AN710" s="173"/>
      <c r="AO710" s="173"/>
      <c r="AP710" s="173"/>
      <c r="AQ710" s="173"/>
      <c r="AR710" s="173"/>
      <c r="AS710" s="173"/>
      <c r="AT710" s="173"/>
      <c r="AU710" s="173"/>
      <c r="AV710" s="173"/>
      <c r="AW710" s="173"/>
      <c r="AX710" s="173"/>
      <c r="AY710" s="173"/>
      <c r="AZ710" s="173"/>
      <c r="BA710" s="173"/>
      <c r="BB710" s="173"/>
      <c r="BC710" s="173"/>
      <c r="BD710" s="173"/>
      <c r="BE710" s="173"/>
      <c r="BF710" s="173"/>
      <c r="BG710" s="173"/>
      <c r="BH710" s="173"/>
      <c r="BI710" s="173"/>
      <c r="BJ710" s="173"/>
      <c r="BK710" s="173"/>
      <c r="BL710" s="173"/>
      <c r="BM710" s="173"/>
    </row>
    <row r="711" spans="1:65">
      <c r="A711" s="173"/>
      <c r="B711" s="173"/>
      <c r="C711" s="173"/>
      <c r="D711" s="173"/>
      <c r="E711" s="173"/>
      <c r="F711" s="173"/>
      <c r="G711" s="173"/>
      <c r="H711" s="173"/>
      <c r="I711" s="173"/>
      <c r="J711" s="173"/>
      <c r="K711" s="322"/>
      <c r="L711" s="173"/>
      <c r="M711" s="173"/>
      <c r="Q711" s="173"/>
      <c r="R711" s="173"/>
      <c r="S711" s="173"/>
      <c r="T711" s="173"/>
      <c r="U711" s="173"/>
      <c r="V711" s="173"/>
      <c r="W711" s="173"/>
      <c r="X711" s="173"/>
      <c r="Y711" s="173"/>
      <c r="Z711" s="173"/>
      <c r="AA711" s="173"/>
      <c r="AB711" s="173"/>
      <c r="AC711" s="173"/>
      <c r="AD711" s="173"/>
      <c r="AE711" s="173"/>
      <c r="AF711" s="173"/>
      <c r="AG711" s="173"/>
      <c r="AH711" s="173"/>
      <c r="AI711" s="173"/>
      <c r="AJ711" s="173"/>
      <c r="AK711" s="173"/>
      <c r="AL711" s="173"/>
      <c r="AM711" s="173"/>
      <c r="AN711" s="173"/>
      <c r="AO711" s="173"/>
      <c r="AP711" s="173"/>
      <c r="AQ711" s="173"/>
      <c r="AR711" s="173"/>
      <c r="AS711" s="173"/>
      <c r="AT711" s="173"/>
      <c r="AU711" s="173"/>
      <c r="AV711" s="173"/>
      <c r="AW711" s="173"/>
      <c r="AX711" s="173"/>
      <c r="AY711" s="173"/>
      <c r="AZ711" s="173"/>
      <c r="BA711" s="173"/>
      <c r="BB711" s="173"/>
      <c r="BC711" s="173"/>
      <c r="BD711" s="173"/>
      <c r="BE711" s="173"/>
      <c r="BF711" s="173"/>
      <c r="BG711" s="173"/>
      <c r="BH711" s="173"/>
      <c r="BI711" s="173"/>
      <c r="BJ711" s="173"/>
      <c r="BK711" s="173"/>
      <c r="BL711" s="173"/>
      <c r="BM711" s="173"/>
    </row>
    <row r="712" spans="1:65">
      <c r="A712" s="173"/>
      <c r="B712" s="173"/>
      <c r="C712" s="173"/>
      <c r="D712" s="173"/>
      <c r="E712" s="173"/>
      <c r="F712" s="173"/>
      <c r="G712" s="173"/>
      <c r="H712" s="173"/>
      <c r="I712" s="173"/>
      <c r="J712" s="173"/>
      <c r="K712" s="322"/>
      <c r="L712" s="173"/>
      <c r="M712" s="173"/>
      <c r="Q712" s="173"/>
      <c r="R712" s="173"/>
      <c r="S712" s="173"/>
      <c r="T712" s="173"/>
      <c r="U712" s="173"/>
      <c r="V712" s="173"/>
      <c r="W712" s="173"/>
      <c r="X712" s="173"/>
      <c r="Y712" s="173"/>
      <c r="Z712" s="173"/>
      <c r="AA712" s="173"/>
      <c r="AB712" s="173"/>
      <c r="AC712" s="173"/>
      <c r="AD712" s="173"/>
      <c r="AE712" s="173"/>
      <c r="AF712" s="173"/>
      <c r="AG712" s="173"/>
      <c r="AH712" s="173"/>
      <c r="AI712" s="173"/>
      <c r="AJ712" s="173"/>
      <c r="AK712" s="173"/>
      <c r="AL712" s="173"/>
      <c r="AM712" s="173"/>
      <c r="AN712" s="173"/>
      <c r="AO712" s="173"/>
      <c r="AP712" s="173"/>
      <c r="AQ712" s="173"/>
      <c r="AR712" s="173"/>
      <c r="AS712" s="173"/>
      <c r="AT712" s="173"/>
      <c r="AU712" s="173"/>
      <c r="AV712" s="173"/>
      <c r="AW712" s="173"/>
      <c r="AX712" s="173"/>
      <c r="AY712" s="173"/>
      <c r="AZ712" s="173"/>
      <c r="BA712" s="173"/>
      <c r="BB712" s="173"/>
      <c r="BC712" s="173"/>
      <c r="BD712" s="173"/>
      <c r="BE712" s="173"/>
      <c r="BF712" s="173"/>
      <c r="BG712" s="173"/>
      <c r="BH712" s="173"/>
      <c r="BI712" s="173"/>
      <c r="BJ712" s="173"/>
      <c r="BK712" s="173"/>
      <c r="BL712" s="173"/>
      <c r="BM712" s="173"/>
    </row>
    <row r="713" spans="1:65">
      <c r="A713" s="173"/>
      <c r="B713" s="173"/>
      <c r="C713" s="173"/>
      <c r="D713" s="173"/>
      <c r="E713" s="173"/>
      <c r="F713" s="173"/>
      <c r="G713" s="173"/>
      <c r="H713" s="173"/>
      <c r="I713" s="173"/>
      <c r="J713" s="173"/>
      <c r="K713" s="322"/>
      <c r="L713" s="173"/>
      <c r="M713" s="173"/>
      <c r="Q713" s="173"/>
      <c r="R713" s="173"/>
      <c r="S713" s="173"/>
      <c r="T713" s="173"/>
      <c r="U713" s="173"/>
      <c r="V713" s="173"/>
      <c r="W713" s="173"/>
      <c r="X713" s="173"/>
      <c r="Y713" s="173"/>
      <c r="Z713" s="173"/>
      <c r="AA713" s="173"/>
      <c r="AB713" s="173"/>
      <c r="AC713" s="173"/>
      <c r="AD713" s="173"/>
      <c r="AE713" s="173"/>
      <c r="AF713" s="173"/>
      <c r="AG713" s="173"/>
      <c r="AH713" s="173"/>
      <c r="AI713" s="173"/>
      <c r="AJ713" s="173"/>
      <c r="AK713" s="173"/>
      <c r="AL713" s="173"/>
      <c r="AM713" s="173"/>
      <c r="AN713" s="173"/>
      <c r="AO713" s="173"/>
      <c r="AP713" s="173"/>
      <c r="AQ713" s="173"/>
      <c r="AR713" s="173"/>
      <c r="AS713" s="173"/>
      <c r="AT713" s="173"/>
      <c r="AU713" s="173"/>
      <c r="AV713" s="173"/>
      <c r="AW713" s="173"/>
      <c r="AX713" s="173"/>
      <c r="AY713" s="173"/>
      <c r="AZ713" s="173"/>
      <c r="BA713" s="173"/>
      <c r="BB713" s="173"/>
      <c r="BC713" s="173"/>
      <c r="BD713" s="173"/>
      <c r="BE713" s="173"/>
      <c r="BF713" s="173"/>
      <c r="BG713" s="173"/>
      <c r="BH713" s="173"/>
      <c r="BI713" s="173"/>
      <c r="BJ713" s="173"/>
      <c r="BK713" s="173"/>
      <c r="BL713" s="173"/>
      <c r="BM713" s="173"/>
    </row>
    <row r="714" spans="1:65">
      <c r="A714" s="173"/>
      <c r="B714" s="173"/>
      <c r="C714" s="173"/>
      <c r="D714" s="173"/>
      <c r="E714" s="173"/>
      <c r="F714" s="173"/>
      <c r="G714" s="173"/>
      <c r="H714" s="173"/>
      <c r="I714" s="173"/>
      <c r="J714" s="173"/>
      <c r="K714" s="322"/>
      <c r="L714" s="173"/>
      <c r="M714" s="173"/>
      <c r="Q714" s="173"/>
      <c r="R714" s="173"/>
      <c r="S714" s="173"/>
      <c r="T714" s="173"/>
      <c r="U714" s="173"/>
      <c r="V714" s="173"/>
      <c r="W714" s="173"/>
      <c r="X714" s="173"/>
      <c r="Y714" s="173"/>
      <c r="Z714" s="173"/>
      <c r="AA714" s="173"/>
      <c r="AB714" s="173"/>
      <c r="AC714" s="173"/>
      <c r="AD714" s="173"/>
      <c r="AE714" s="173"/>
      <c r="AF714" s="173"/>
      <c r="AG714" s="173"/>
      <c r="AH714" s="173"/>
      <c r="AI714" s="173"/>
      <c r="AJ714" s="173"/>
      <c r="AK714" s="173"/>
      <c r="AL714" s="173"/>
      <c r="AM714" s="173"/>
      <c r="AN714" s="173"/>
      <c r="AO714" s="173"/>
      <c r="AP714" s="173"/>
      <c r="AQ714" s="173"/>
      <c r="AR714" s="173"/>
      <c r="AS714" s="173"/>
      <c r="AT714" s="173"/>
      <c r="AU714" s="173"/>
      <c r="AV714" s="173"/>
      <c r="AW714" s="173"/>
      <c r="AX714" s="173"/>
      <c r="AY714" s="173"/>
      <c r="AZ714" s="173"/>
      <c r="BA714" s="173"/>
      <c r="BB714" s="173"/>
      <c r="BC714" s="173"/>
      <c r="BD714" s="173"/>
      <c r="BE714" s="173"/>
      <c r="BF714" s="173"/>
      <c r="BG714" s="173"/>
      <c r="BH714" s="173"/>
      <c r="BI714" s="173"/>
      <c r="BJ714" s="173"/>
      <c r="BK714" s="173"/>
      <c r="BL714" s="173"/>
      <c r="BM714" s="173"/>
    </row>
    <row r="715" spans="1:65">
      <c r="A715" s="173"/>
      <c r="B715" s="173"/>
      <c r="C715" s="173"/>
      <c r="D715" s="173"/>
      <c r="E715" s="173"/>
      <c r="F715" s="173"/>
      <c r="G715" s="173"/>
      <c r="H715" s="173"/>
      <c r="I715" s="173"/>
      <c r="J715" s="173"/>
      <c r="K715" s="322"/>
      <c r="L715" s="173"/>
      <c r="M715" s="173"/>
      <c r="Q715" s="173"/>
      <c r="R715" s="173"/>
      <c r="S715" s="173"/>
      <c r="T715" s="173"/>
      <c r="U715" s="173"/>
      <c r="V715" s="173"/>
      <c r="W715" s="173"/>
      <c r="X715" s="173"/>
      <c r="Y715" s="173"/>
      <c r="Z715" s="173"/>
      <c r="AA715" s="173"/>
      <c r="AB715" s="173"/>
      <c r="AC715" s="173"/>
      <c r="AD715" s="173"/>
      <c r="AE715" s="173"/>
      <c r="AF715" s="173"/>
      <c r="AG715" s="173"/>
      <c r="AH715" s="173"/>
      <c r="AI715" s="173"/>
      <c r="AJ715" s="173"/>
      <c r="AK715" s="173"/>
      <c r="AL715" s="173"/>
      <c r="AM715" s="173"/>
      <c r="AN715" s="173"/>
      <c r="AO715" s="173"/>
      <c r="AP715" s="173"/>
      <c r="AQ715" s="173"/>
      <c r="AR715" s="173"/>
      <c r="AS715" s="173"/>
      <c r="AT715" s="173"/>
      <c r="AU715" s="173"/>
      <c r="AV715" s="173"/>
      <c r="AW715" s="173"/>
      <c r="AX715" s="173"/>
      <c r="AY715" s="173"/>
      <c r="AZ715" s="173"/>
      <c r="BA715" s="173"/>
      <c r="BB715" s="173"/>
      <c r="BC715" s="173"/>
      <c r="BD715" s="173"/>
      <c r="BE715" s="173"/>
      <c r="BF715" s="173"/>
      <c r="BG715" s="173"/>
      <c r="BH715" s="173"/>
      <c r="BI715" s="173"/>
      <c r="BJ715" s="173"/>
      <c r="BK715" s="173"/>
      <c r="BL715" s="173"/>
      <c r="BM715" s="173"/>
    </row>
    <row r="716" spans="1:65">
      <c r="A716" s="173"/>
      <c r="B716" s="173"/>
      <c r="C716" s="173"/>
      <c r="D716" s="173"/>
      <c r="E716" s="173"/>
      <c r="F716" s="173"/>
      <c r="G716" s="173"/>
      <c r="H716" s="173"/>
      <c r="I716" s="173"/>
      <c r="J716" s="173"/>
      <c r="K716" s="322"/>
      <c r="L716" s="173"/>
      <c r="M716" s="173"/>
      <c r="Q716" s="173"/>
      <c r="R716" s="173"/>
      <c r="S716" s="173"/>
      <c r="T716" s="173"/>
      <c r="U716" s="173"/>
      <c r="V716" s="173"/>
      <c r="W716" s="173"/>
      <c r="X716" s="173"/>
      <c r="Y716" s="173"/>
      <c r="Z716" s="173"/>
      <c r="AA716" s="173"/>
      <c r="AB716" s="173"/>
      <c r="AC716" s="173"/>
      <c r="AD716" s="173"/>
      <c r="AE716" s="173"/>
      <c r="AF716" s="173"/>
      <c r="AG716" s="173"/>
      <c r="AH716" s="173"/>
      <c r="AI716" s="173"/>
      <c r="AJ716" s="173"/>
      <c r="AK716" s="173"/>
      <c r="AL716" s="173"/>
      <c r="AM716" s="173"/>
      <c r="AN716" s="173"/>
      <c r="AO716" s="173"/>
      <c r="AP716" s="173"/>
      <c r="AQ716" s="173"/>
      <c r="AR716" s="173"/>
      <c r="AS716" s="173"/>
      <c r="AT716" s="173"/>
      <c r="AU716" s="173"/>
      <c r="AV716" s="173"/>
      <c r="AW716" s="173"/>
      <c r="AX716" s="173"/>
      <c r="AY716" s="173"/>
      <c r="AZ716" s="173"/>
      <c r="BA716" s="173"/>
      <c r="BB716" s="173"/>
      <c r="BC716" s="173"/>
      <c r="BD716" s="173"/>
      <c r="BE716" s="173"/>
      <c r="BF716" s="173"/>
      <c r="BG716" s="173"/>
      <c r="BH716" s="173"/>
      <c r="BI716" s="173"/>
      <c r="BJ716" s="173"/>
      <c r="BK716" s="173"/>
      <c r="BL716" s="173"/>
      <c r="BM716" s="173"/>
    </row>
    <row r="717" spans="1:65">
      <c r="A717" s="173"/>
      <c r="B717" s="173"/>
      <c r="C717" s="173"/>
      <c r="D717" s="173"/>
      <c r="E717" s="173"/>
      <c r="F717" s="173"/>
      <c r="G717" s="173"/>
      <c r="H717" s="173"/>
      <c r="I717" s="173"/>
      <c r="J717" s="173"/>
      <c r="K717" s="322"/>
      <c r="L717" s="173"/>
      <c r="M717" s="173"/>
      <c r="Q717" s="173"/>
      <c r="R717" s="173"/>
      <c r="S717" s="173"/>
      <c r="T717" s="173"/>
      <c r="U717" s="173"/>
      <c r="V717" s="173"/>
      <c r="W717" s="173"/>
      <c r="X717" s="173"/>
      <c r="Y717" s="173"/>
      <c r="Z717" s="173"/>
      <c r="AA717" s="173"/>
      <c r="AB717" s="173"/>
      <c r="AC717" s="173"/>
      <c r="AD717" s="173"/>
      <c r="AE717" s="173"/>
      <c r="AF717" s="173"/>
      <c r="AG717" s="173"/>
      <c r="AH717" s="173"/>
      <c r="AI717" s="173"/>
      <c r="AJ717" s="173"/>
      <c r="AK717" s="173"/>
      <c r="AL717" s="173"/>
      <c r="AM717" s="173"/>
      <c r="AN717" s="173"/>
      <c r="AO717" s="173"/>
      <c r="AP717" s="173"/>
      <c r="AQ717" s="173"/>
      <c r="AR717" s="173"/>
      <c r="AS717" s="173"/>
      <c r="AT717" s="173"/>
      <c r="AU717" s="173"/>
      <c r="AV717" s="173"/>
      <c r="AW717" s="173"/>
      <c r="AX717" s="173"/>
      <c r="AY717" s="173"/>
      <c r="AZ717" s="173"/>
      <c r="BA717" s="173"/>
      <c r="BB717" s="173"/>
      <c r="BC717" s="173"/>
      <c r="BD717" s="173"/>
      <c r="BE717" s="173"/>
      <c r="BF717" s="173"/>
      <c r="BG717" s="173"/>
      <c r="BH717" s="173"/>
      <c r="BI717" s="173"/>
      <c r="BJ717" s="173"/>
      <c r="BK717" s="173"/>
      <c r="BL717" s="173"/>
      <c r="BM717" s="173"/>
    </row>
    <row r="718" spans="1:65">
      <c r="A718" s="173"/>
      <c r="B718" s="173"/>
      <c r="C718" s="173"/>
      <c r="D718" s="173"/>
      <c r="E718" s="173"/>
      <c r="F718" s="173"/>
      <c r="G718" s="173"/>
      <c r="H718" s="173"/>
      <c r="I718" s="173"/>
      <c r="J718" s="173"/>
      <c r="K718" s="322"/>
      <c r="L718" s="173"/>
      <c r="M718" s="173"/>
      <c r="Q718" s="173"/>
      <c r="R718" s="173"/>
      <c r="S718" s="173"/>
      <c r="T718" s="173"/>
      <c r="U718" s="173"/>
      <c r="V718" s="173"/>
      <c r="W718" s="173"/>
      <c r="X718" s="173"/>
      <c r="Y718" s="173"/>
      <c r="Z718" s="173"/>
      <c r="AA718" s="173"/>
      <c r="AB718" s="173"/>
      <c r="AC718" s="173"/>
      <c r="AD718" s="173"/>
      <c r="AE718" s="173"/>
      <c r="AF718" s="173"/>
      <c r="AG718" s="173"/>
      <c r="AH718" s="173"/>
      <c r="AI718" s="173"/>
      <c r="AJ718" s="173"/>
      <c r="AK718" s="173"/>
      <c r="AL718" s="173"/>
      <c r="AM718" s="173"/>
      <c r="AN718" s="173"/>
      <c r="AO718" s="173"/>
      <c r="AP718" s="173"/>
      <c r="AQ718" s="173"/>
      <c r="AR718" s="173"/>
      <c r="AS718" s="173"/>
      <c r="AT718" s="173"/>
      <c r="AU718" s="173"/>
      <c r="AV718" s="173"/>
      <c r="AW718" s="173"/>
      <c r="AX718" s="173"/>
      <c r="AY718" s="173"/>
      <c r="AZ718" s="173"/>
      <c r="BA718" s="173"/>
      <c r="BB718" s="173"/>
      <c r="BC718" s="173"/>
      <c r="BD718" s="173"/>
      <c r="BE718" s="173"/>
      <c r="BF718" s="173"/>
      <c r="BG718" s="173"/>
      <c r="BH718" s="173"/>
      <c r="BI718" s="173"/>
      <c r="BJ718" s="173"/>
      <c r="BK718" s="173"/>
      <c r="BL718" s="173"/>
      <c r="BM718" s="173"/>
    </row>
    <row r="719" spans="1:65">
      <c r="A719" s="173"/>
      <c r="B719" s="173"/>
      <c r="C719" s="173"/>
      <c r="D719" s="173"/>
      <c r="E719" s="173"/>
      <c r="F719" s="173"/>
      <c r="G719" s="173"/>
      <c r="H719" s="173"/>
      <c r="I719" s="173"/>
      <c r="J719" s="173"/>
      <c r="K719" s="322"/>
      <c r="L719" s="173"/>
      <c r="M719" s="173"/>
      <c r="Q719" s="173"/>
      <c r="R719" s="173"/>
      <c r="S719" s="173"/>
      <c r="T719" s="173"/>
      <c r="U719" s="173"/>
      <c r="V719" s="173"/>
      <c r="W719" s="173"/>
      <c r="X719" s="173"/>
      <c r="Y719" s="173"/>
      <c r="Z719" s="173"/>
      <c r="AA719" s="173"/>
      <c r="AB719" s="173"/>
      <c r="AC719" s="173"/>
      <c r="AD719" s="173"/>
      <c r="AE719" s="173"/>
      <c r="AF719" s="173"/>
      <c r="AG719" s="173"/>
      <c r="AH719" s="173"/>
      <c r="AI719" s="173"/>
      <c r="AJ719" s="173"/>
      <c r="AK719" s="173"/>
      <c r="AL719" s="173"/>
      <c r="AM719" s="173"/>
      <c r="AN719" s="173"/>
      <c r="AO719" s="173"/>
      <c r="AP719" s="173"/>
      <c r="AQ719" s="173"/>
      <c r="AR719" s="173"/>
      <c r="AS719" s="173"/>
      <c r="AT719" s="173"/>
      <c r="AU719" s="173"/>
      <c r="AV719" s="173"/>
      <c r="AW719" s="173"/>
      <c r="AX719" s="173"/>
      <c r="AY719" s="173"/>
      <c r="AZ719" s="173"/>
      <c r="BA719" s="173"/>
      <c r="BB719" s="173"/>
      <c r="BC719" s="173"/>
      <c r="BD719" s="173"/>
      <c r="BE719" s="173"/>
      <c r="BF719" s="173"/>
      <c r="BG719" s="173"/>
      <c r="BH719" s="173"/>
      <c r="BI719" s="173"/>
      <c r="BJ719" s="173"/>
      <c r="BK719" s="173"/>
      <c r="BL719" s="173"/>
      <c r="BM719" s="173"/>
    </row>
    <row r="720" spans="1:65">
      <c r="A720" s="173"/>
      <c r="B720" s="173"/>
      <c r="C720" s="173"/>
      <c r="D720" s="173"/>
      <c r="E720" s="173"/>
      <c r="F720" s="173"/>
      <c r="G720" s="173"/>
      <c r="H720" s="173"/>
      <c r="I720" s="173"/>
      <c r="J720" s="173"/>
      <c r="K720" s="322"/>
      <c r="L720" s="173"/>
      <c r="M720" s="173"/>
      <c r="Q720" s="173"/>
      <c r="R720" s="173"/>
      <c r="S720" s="173"/>
      <c r="T720" s="173"/>
      <c r="U720" s="173"/>
      <c r="V720" s="173"/>
      <c r="W720" s="173"/>
      <c r="X720" s="173"/>
      <c r="Y720" s="173"/>
      <c r="Z720" s="173"/>
      <c r="AA720" s="173"/>
      <c r="AB720" s="173"/>
      <c r="AC720" s="173"/>
      <c r="AD720" s="173"/>
      <c r="AE720" s="173"/>
      <c r="AF720" s="173"/>
      <c r="AG720" s="173"/>
      <c r="AH720" s="173"/>
      <c r="AI720" s="173"/>
      <c r="AJ720" s="173"/>
      <c r="AK720" s="173"/>
      <c r="AL720" s="173"/>
      <c r="AM720" s="173"/>
      <c r="AN720" s="173"/>
      <c r="AO720" s="173"/>
      <c r="AP720" s="173"/>
      <c r="AQ720" s="173"/>
      <c r="AR720" s="173"/>
      <c r="AS720" s="173"/>
      <c r="AT720" s="173"/>
      <c r="AU720" s="173"/>
      <c r="AV720" s="173"/>
      <c r="AW720" s="173"/>
      <c r="AX720" s="173"/>
      <c r="AY720" s="173"/>
      <c r="AZ720" s="173"/>
      <c r="BA720" s="173"/>
      <c r="BB720" s="173"/>
      <c r="BC720" s="173"/>
      <c r="BD720" s="173"/>
      <c r="BE720" s="173"/>
      <c r="BF720" s="173"/>
      <c r="BG720" s="173"/>
      <c r="BH720" s="173"/>
      <c r="BI720" s="173"/>
      <c r="BJ720" s="173"/>
      <c r="BK720" s="173"/>
      <c r="BL720" s="173"/>
      <c r="BM720" s="173"/>
    </row>
    <row r="721" spans="1:65">
      <c r="A721" s="173"/>
      <c r="B721" s="173"/>
      <c r="C721" s="173"/>
      <c r="D721" s="173"/>
      <c r="E721" s="173"/>
      <c r="F721" s="173"/>
      <c r="G721" s="173"/>
      <c r="H721" s="173"/>
      <c r="I721" s="173"/>
      <c r="J721" s="173"/>
      <c r="K721" s="322"/>
      <c r="L721" s="173"/>
      <c r="M721" s="173"/>
      <c r="Q721" s="173"/>
      <c r="R721" s="173"/>
      <c r="S721" s="173"/>
      <c r="T721" s="173"/>
      <c r="U721" s="173"/>
      <c r="V721" s="173"/>
      <c r="W721" s="173"/>
      <c r="X721" s="173"/>
      <c r="Y721" s="173"/>
      <c r="Z721" s="173"/>
      <c r="AA721" s="173"/>
      <c r="AB721" s="173"/>
      <c r="AC721" s="173"/>
      <c r="AD721" s="173"/>
      <c r="AE721" s="173"/>
      <c r="AF721" s="173"/>
      <c r="AG721" s="173"/>
      <c r="AH721" s="173"/>
      <c r="AI721" s="173"/>
      <c r="AJ721" s="173"/>
      <c r="AK721" s="173"/>
      <c r="AL721" s="173"/>
      <c r="AM721" s="173"/>
      <c r="AN721" s="173"/>
      <c r="AO721" s="173"/>
      <c r="AP721" s="173"/>
      <c r="AQ721" s="173"/>
      <c r="AR721" s="173"/>
      <c r="AS721" s="173"/>
      <c r="AT721" s="173"/>
      <c r="AU721" s="173"/>
      <c r="AV721" s="173"/>
      <c r="AW721" s="173"/>
      <c r="AX721" s="173"/>
      <c r="AY721" s="173"/>
      <c r="AZ721" s="173"/>
      <c r="BA721" s="173"/>
      <c r="BB721" s="173"/>
      <c r="BC721" s="173"/>
      <c r="BD721" s="173"/>
      <c r="BE721" s="173"/>
      <c r="BF721" s="173"/>
      <c r="BG721" s="173"/>
      <c r="BH721" s="173"/>
      <c r="BI721" s="173"/>
      <c r="BJ721" s="173"/>
      <c r="BK721" s="173"/>
      <c r="BL721" s="173"/>
      <c r="BM721" s="173"/>
    </row>
    <row r="722" spans="1:65">
      <c r="A722" s="173"/>
      <c r="B722" s="173"/>
      <c r="C722" s="173"/>
      <c r="D722" s="173"/>
      <c r="E722" s="173"/>
      <c r="F722" s="173"/>
      <c r="G722" s="173"/>
      <c r="H722" s="173"/>
      <c r="I722" s="173"/>
      <c r="J722" s="173"/>
      <c r="K722" s="322"/>
      <c r="L722" s="173"/>
      <c r="M722" s="173"/>
      <c r="Q722" s="173"/>
      <c r="R722" s="173"/>
      <c r="S722" s="173"/>
      <c r="T722" s="173"/>
      <c r="U722" s="173"/>
      <c r="V722" s="173"/>
      <c r="W722" s="173"/>
      <c r="X722" s="173"/>
      <c r="Y722" s="173"/>
      <c r="Z722" s="173"/>
      <c r="AA722" s="173"/>
      <c r="AB722" s="173"/>
      <c r="AC722" s="173"/>
      <c r="AD722" s="173"/>
      <c r="AE722" s="173"/>
      <c r="AF722" s="173"/>
      <c r="AG722" s="173"/>
      <c r="AH722" s="173"/>
      <c r="AI722" s="173"/>
      <c r="AJ722" s="173"/>
      <c r="AK722" s="173"/>
      <c r="AL722" s="173"/>
      <c r="AM722" s="173"/>
      <c r="AN722" s="173"/>
      <c r="AO722" s="173"/>
      <c r="AP722" s="173"/>
      <c r="AQ722" s="173"/>
      <c r="AR722" s="173"/>
      <c r="AS722" s="173"/>
      <c r="AT722" s="173"/>
      <c r="AU722" s="173"/>
      <c r="AV722" s="173"/>
      <c r="AW722" s="173"/>
      <c r="AX722" s="173"/>
      <c r="AY722" s="173"/>
      <c r="AZ722" s="173"/>
      <c r="BA722" s="173"/>
      <c r="BB722" s="173"/>
      <c r="BC722" s="173"/>
      <c r="BD722" s="173"/>
      <c r="BE722" s="173"/>
      <c r="BF722" s="173"/>
      <c r="BG722" s="173"/>
      <c r="BH722" s="173"/>
      <c r="BI722" s="173"/>
      <c r="BJ722" s="173"/>
      <c r="BK722" s="173"/>
      <c r="BL722" s="173"/>
      <c r="BM722" s="173"/>
    </row>
    <row r="723" spans="1:65">
      <c r="A723" s="173"/>
      <c r="B723" s="173"/>
      <c r="C723" s="173"/>
      <c r="D723" s="173"/>
      <c r="E723" s="173"/>
      <c r="F723" s="173"/>
      <c r="G723" s="173"/>
      <c r="H723" s="173"/>
      <c r="I723" s="173"/>
      <c r="J723" s="173"/>
      <c r="K723" s="322"/>
      <c r="L723" s="173"/>
      <c r="M723" s="173"/>
      <c r="Q723" s="173"/>
      <c r="R723" s="173"/>
      <c r="S723" s="173"/>
      <c r="T723" s="173"/>
      <c r="U723" s="173"/>
      <c r="V723" s="173"/>
      <c r="W723" s="173"/>
      <c r="X723" s="173"/>
      <c r="Y723" s="173"/>
      <c r="Z723" s="173"/>
      <c r="AA723" s="173"/>
      <c r="AB723" s="173"/>
      <c r="AC723" s="173"/>
      <c r="AD723" s="173"/>
      <c r="AE723" s="173"/>
      <c r="AF723" s="173"/>
      <c r="AG723" s="173"/>
      <c r="AH723" s="173"/>
      <c r="AI723" s="173"/>
      <c r="AJ723" s="173"/>
      <c r="AK723" s="173"/>
      <c r="AL723" s="173"/>
      <c r="AM723" s="173"/>
      <c r="AN723" s="173"/>
      <c r="AO723" s="173"/>
      <c r="AP723" s="173"/>
      <c r="AQ723" s="173"/>
      <c r="AR723" s="173"/>
      <c r="AS723" s="173"/>
      <c r="AT723" s="173"/>
      <c r="AU723" s="173"/>
      <c r="AV723" s="173"/>
      <c r="AW723" s="173"/>
      <c r="AX723" s="173"/>
      <c r="AY723" s="173"/>
      <c r="AZ723" s="173"/>
      <c r="BA723" s="173"/>
      <c r="BB723" s="173"/>
      <c r="BC723" s="173"/>
      <c r="BD723" s="173"/>
      <c r="BE723" s="173"/>
      <c r="BF723" s="173"/>
      <c r="BG723" s="173"/>
      <c r="BH723" s="173"/>
      <c r="BI723" s="173"/>
      <c r="BJ723" s="173"/>
      <c r="BK723" s="173"/>
      <c r="BL723" s="173"/>
      <c r="BM723" s="173"/>
    </row>
    <row r="724" spans="1:65">
      <c r="A724" s="173"/>
      <c r="B724" s="173"/>
      <c r="C724" s="173"/>
      <c r="D724" s="173"/>
      <c r="E724" s="173"/>
      <c r="F724" s="173"/>
      <c r="G724" s="173"/>
      <c r="H724" s="173"/>
      <c r="I724" s="173"/>
      <c r="J724" s="173"/>
      <c r="K724" s="322"/>
      <c r="L724" s="173"/>
      <c r="M724" s="173"/>
      <c r="Q724" s="173"/>
      <c r="R724" s="173"/>
      <c r="S724" s="173"/>
      <c r="T724" s="173"/>
      <c r="U724" s="173"/>
      <c r="V724" s="173"/>
      <c r="W724" s="173"/>
      <c r="X724" s="173"/>
      <c r="Y724" s="173"/>
      <c r="Z724" s="173"/>
      <c r="AA724" s="173"/>
      <c r="AB724" s="173"/>
      <c r="AC724" s="173"/>
      <c r="AD724" s="173"/>
      <c r="AE724" s="173"/>
      <c r="AF724" s="173"/>
      <c r="AG724" s="173"/>
      <c r="AH724" s="173"/>
      <c r="AI724" s="173"/>
      <c r="AJ724" s="173"/>
      <c r="AK724" s="173"/>
      <c r="AL724" s="173"/>
      <c r="AM724" s="173"/>
      <c r="AN724" s="173"/>
      <c r="AO724" s="173"/>
      <c r="AP724" s="173"/>
      <c r="AQ724" s="173"/>
      <c r="AR724" s="173"/>
      <c r="AS724" s="173"/>
      <c r="AT724" s="173"/>
      <c r="AU724" s="173"/>
      <c r="AV724" s="173"/>
      <c r="AW724" s="173"/>
      <c r="AX724" s="173"/>
      <c r="AY724" s="173"/>
      <c r="AZ724" s="173"/>
      <c r="BA724" s="173"/>
      <c r="BB724" s="173"/>
      <c r="BC724" s="173"/>
      <c r="BD724" s="173"/>
      <c r="BE724" s="173"/>
      <c r="BF724" s="173"/>
      <c r="BG724" s="173"/>
      <c r="BH724" s="173"/>
      <c r="BI724" s="173"/>
      <c r="BJ724" s="173"/>
      <c r="BK724" s="173"/>
      <c r="BL724" s="173"/>
      <c r="BM724" s="173"/>
    </row>
    <row r="725" spans="1:65">
      <c r="A725" s="173"/>
      <c r="B725" s="173"/>
      <c r="C725" s="173"/>
      <c r="D725" s="173"/>
      <c r="E725" s="173"/>
      <c r="F725" s="173"/>
      <c r="G725" s="173"/>
      <c r="H725" s="173"/>
      <c r="I725" s="173"/>
      <c r="J725" s="173"/>
      <c r="K725" s="322"/>
      <c r="L725" s="173"/>
      <c r="M725" s="173"/>
      <c r="Q725" s="173"/>
      <c r="R725" s="173"/>
      <c r="S725" s="173"/>
      <c r="T725" s="173"/>
      <c r="U725" s="173"/>
      <c r="V725" s="173"/>
      <c r="W725" s="173"/>
      <c r="X725" s="173"/>
      <c r="Y725" s="173"/>
      <c r="Z725" s="173"/>
      <c r="AA725" s="173"/>
      <c r="AB725" s="173"/>
      <c r="AC725" s="173"/>
      <c r="AD725" s="173"/>
      <c r="AE725" s="173"/>
      <c r="AF725" s="173"/>
      <c r="AG725" s="173"/>
      <c r="AH725" s="173"/>
      <c r="AI725" s="173"/>
      <c r="AJ725" s="173"/>
      <c r="AK725" s="173"/>
      <c r="AL725" s="173"/>
      <c r="AM725" s="173"/>
      <c r="AN725" s="173"/>
      <c r="AO725" s="173"/>
      <c r="AP725" s="173"/>
      <c r="AQ725" s="173"/>
      <c r="AR725" s="173"/>
      <c r="AS725" s="173"/>
      <c r="AT725" s="173"/>
      <c r="AU725" s="173"/>
      <c r="AV725" s="173"/>
      <c r="AW725" s="173"/>
      <c r="AX725" s="173"/>
      <c r="AY725" s="173"/>
      <c r="AZ725" s="173"/>
      <c r="BA725" s="173"/>
      <c r="BB725" s="173"/>
      <c r="BC725" s="173"/>
      <c r="BD725" s="173"/>
      <c r="BE725" s="173"/>
      <c r="BF725" s="173"/>
      <c r="BG725" s="173"/>
      <c r="BH725" s="173"/>
      <c r="BI725" s="173"/>
      <c r="BJ725" s="173"/>
      <c r="BK725" s="173"/>
      <c r="BL725" s="173"/>
      <c r="BM725" s="173"/>
    </row>
    <row r="726" spans="1:65">
      <c r="A726" s="173"/>
      <c r="B726" s="173"/>
      <c r="C726" s="173"/>
      <c r="D726" s="173"/>
      <c r="E726" s="173"/>
      <c r="F726" s="173"/>
      <c r="G726" s="173"/>
      <c r="H726" s="173"/>
      <c r="I726" s="173"/>
      <c r="J726" s="173"/>
      <c r="K726" s="322"/>
      <c r="L726" s="173"/>
      <c r="M726" s="173"/>
      <c r="Q726" s="173"/>
      <c r="R726" s="173"/>
      <c r="S726" s="173"/>
      <c r="T726" s="173"/>
      <c r="U726" s="173"/>
      <c r="V726" s="173"/>
      <c r="W726" s="173"/>
      <c r="X726" s="173"/>
      <c r="Y726" s="173"/>
      <c r="Z726" s="173"/>
      <c r="AA726" s="173"/>
      <c r="AB726" s="173"/>
      <c r="AC726" s="173"/>
      <c r="AD726" s="173"/>
      <c r="AE726" s="173"/>
      <c r="AF726" s="173"/>
      <c r="AG726" s="173"/>
      <c r="AH726" s="173"/>
      <c r="AI726" s="173"/>
      <c r="AJ726" s="173"/>
      <c r="AK726" s="173"/>
      <c r="AL726" s="173"/>
      <c r="AM726" s="173"/>
      <c r="AN726" s="173"/>
      <c r="AO726" s="173"/>
      <c r="AP726" s="173"/>
      <c r="AQ726" s="173"/>
      <c r="AR726" s="173"/>
      <c r="AS726" s="173"/>
      <c r="AT726" s="173"/>
      <c r="AU726" s="173"/>
      <c r="AV726" s="173"/>
      <c r="AW726" s="173"/>
      <c r="AX726" s="173"/>
      <c r="AY726" s="173"/>
      <c r="AZ726" s="173"/>
      <c r="BA726" s="173"/>
      <c r="BB726" s="173"/>
      <c r="BC726" s="173"/>
      <c r="BD726" s="173"/>
      <c r="BE726" s="173"/>
      <c r="BF726" s="173"/>
      <c r="BG726" s="173"/>
      <c r="BH726" s="173"/>
      <c r="BI726" s="173"/>
      <c r="BJ726" s="173"/>
      <c r="BK726" s="173"/>
      <c r="BL726" s="173"/>
      <c r="BM726" s="173"/>
    </row>
    <row r="727" spans="1:65">
      <c r="A727" s="173"/>
      <c r="B727" s="173"/>
      <c r="C727" s="173"/>
      <c r="D727" s="173"/>
      <c r="E727" s="173"/>
      <c r="F727" s="173"/>
      <c r="G727" s="173"/>
      <c r="H727" s="173"/>
      <c r="I727" s="173"/>
      <c r="J727" s="173"/>
      <c r="K727" s="322"/>
      <c r="L727" s="173"/>
      <c r="M727" s="173"/>
      <c r="Q727" s="173"/>
      <c r="R727" s="173"/>
      <c r="S727" s="173"/>
      <c r="T727" s="173"/>
      <c r="U727" s="173"/>
      <c r="V727" s="173"/>
      <c r="W727" s="173"/>
      <c r="X727" s="173"/>
      <c r="Y727" s="173"/>
      <c r="Z727" s="173"/>
      <c r="AA727" s="173"/>
      <c r="AB727" s="173"/>
      <c r="AC727" s="173"/>
      <c r="AD727" s="173"/>
      <c r="AE727" s="173"/>
      <c r="AF727" s="173"/>
      <c r="AG727" s="173"/>
      <c r="AH727" s="173"/>
      <c r="AI727" s="173"/>
      <c r="AJ727" s="173"/>
      <c r="AK727" s="173"/>
      <c r="AL727" s="173"/>
      <c r="AM727" s="173"/>
      <c r="AN727" s="173"/>
      <c r="AO727" s="173"/>
      <c r="AP727" s="173"/>
      <c r="AQ727" s="173"/>
      <c r="AR727" s="173"/>
      <c r="AS727" s="173"/>
      <c r="AT727" s="173"/>
      <c r="AU727" s="173"/>
      <c r="AV727" s="173"/>
      <c r="AW727" s="173"/>
      <c r="AX727" s="173"/>
      <c r="AY727" s="173"/>
      <c r="AZ727" s="173"/>
      <c r="BA727" s="173"/>
      <c r="BB727" s="173"/>
      <c r="BC727" s="173"/>
      <c r="BD727" s="173"/>
      <c r="BE727" s="173"/>
      <c r="BF727" s="173"/>
      <c r="BG727" s="173"/>
      <c r="BH727" s="173"/>
      <c r="BI727" s="173"/>
      <c r="BJ727" s="173"/>
      <c r="BK727" s="173"/>
      <c r="BL727" s="173"/>
      <c r="BM727" s="173"/>
    </row>
    <row r="728" spans="1:65">
      <c r="A728" s="173"/>
      <c r="B728" s="173"/>
      <c r="C728" s="173"/>
      <c r="D728" s="173"/>
      <c r="E728" s="173"/>
      <c r="F728" s="173"/>
      <c r="G728" s="173"/>
      <c r="H728" s="173"/>
      <c r="I728" s="173"/>
      <c r="J728" s="173"/>
      <c r="K728" s="322"/>
      <c r="L728" s="173"/>
      <c r="M728" s="173"/>
      <c r="Q728" s="173"/>
      <c r="R728" s="173"/>
      <c r="S728" s="173"/>
      <c r="T728" s="173"/>
      <c r="U728" s="173"/>
      <c r="V728" s="173"/>
      <c r="W728" s="173"/>
      <c r="X728" s="173"/>
      <c r="Y728" s="173"/>
      <c r="Z728" s="173"/>
      <c r="AA728" s="173"/>
      <c r="AB728" s="173"/>
      <c r="AC728" s="173"/>
      <c r="AD728" s="173"/>
      <c r="AE728" s="173"/>
      <c r="AF728" s="173"/>
      <c r="AG728" s="173"/>
      <c r="AH728" s="173"/>
      <c r="AI728" s="173"/>
      <c r="AJ728" s="173"/>
      <c r="AK728" s="173"/>
      <c r="AL728" s="173"/>
      <c r="AM728" s="173"/>
      <c r="AN728" s="173"/>
      <c r="AO728" s="173"/>
      <c r="AP728" s="173"/>
      <c r="AQ728" s="173"/>
      <c r="AR728" s="173"/>
      <c r="AS728" s="173"/>
      <c r="AT728" s="173"/>
      <c r="AU728" s="173"/>
      <c r="AV728" s="173"/>
      <c r="AW728" s="173"/>
      <c r="AX728" s="173"/>
      <c r="AY728" s="173"/>
      <c r="AZ728" s="173"/>
      <c r="BA728" s="173"/>
      <c r="BB728" s="173"/>
      <c r="BC728" s="173"/>
      <c r="BD728" s="173"/>
      <c r="BE728" s="173"/>
      <c r="BF728" s="173"/>
      <c r="BG728" s="173"/>
      <c r="BH728" s="173"/>
      <c r="BI728" s="173"/>
      <c r="BJ728" s="173"/>
      <c r="BK728" s="173"/>
      <c r="BL728" s="173"/>
      <c r="BM728" s="173"/>
    </row>
    <row r="729" spans="1:65">
      <c r="A729" s="173"/>
      <c r="B729" s="173"/>
      <c r="C729" s="173"/>
      <c r="D729" s="173"/>
      <c r="E729" s="173"/>
      <c r="F729" s="173"/>
      <c r="G729" s="173"/>
      <c r="H729" s="173"/>
      <c r="I729" s="173"/>
      <c r="J729" s="173"/>
      <c r="K729" s="322"/>
      <c r="L729" s="173"/>
      <c r="M729" s="173"/>
      <c r="Q729" s="173"/>
      <c r="R729" s="173"/>
      <c r="S729" s="173"/>
      <c r="T729" s="173"/>
      <c r="U729" s="173"/>
      <c r="V729" s="173"/>
      <c r="W729" s="173"/>
      <c r="X729" s="173"/>
      <c r="Y729" s="173"/>
      <c r="Z729" s="173"/>
      <c r="AA729" s="173"/>
      <c r="AB729" s="173"/>
      <c r="AC729" s="173"/>
      <c r="AD729" s="173"/>
      <c r="AE729" s="173"/>
      <c r="AF729" s="173"/>
      <c r="AG729" s="173"/>
      <c r="AH729" s="173"/>
      <c r="AI729" s="173"/>
      <c r="AJ729" s="173"/>
      <c r="AK729" s="173"/>
      <c r="AL729" s="173"/>
      <c r="AM729" s="173"/>
      <c r="AN729" s="173"/>
      <c r="AO729" s="173"/>
      <c r="AP729" s="173"/>
      <c r="AQ729" s="173"/>
      <c r="AR729" s="173"/>
      <c r="AS729" s="173"/>
      <c r="AT729" s="173"/>
      <c r="AU729" s="173"/>
      <c r="AV729" s="173"/>
      <c r="AW729" s="173"/>
      <c r="AX729" s="173"/>
      <c r="AY729" s="173"/>
      <c r="AZ729" s="173"/>
      <c r="BA729" s="173"/>
      <c r="BB729" s="173"/>
      <c r="BC729" s="173"/>
      <c r="BD729" s="173"/>
      <c r="BE729" s="173"/>
      <c r="BF729" s="173"/>
      <c r="BG729" s="173"/>
      <c r="BH729" s="173"/>
      <c r="BI729" s="173"/>
      <c r="BJ729" s="173"/>
      <c r="BK729" s="173"/>
      <c r="BL729" s="173"/>
      <c r="BM729" s="173"/>
    </row>
    <row r="730" spans="1:65">
      <c r="A730" s="173"/>
      <c r="B730" s="173"/>
      <c r="C730" s="173"/>
      <c r="D730" s="173"/>
      <c r="E730" s="173"/>
      <c r="F730" s="173"/>
      <c r="G730" s="173"/>
      <c r="H730" s="173"/>
      <c r="I730" s="173"/>
      <c r="J730" s="173"/>
      <c r="K730" s="322"/>
      <c r="L730" s="173"/>
      <c r="M730" s="173"/>
      <c r="Q730" s="173"/>
      <c r="R730" s="173"/>
      <c r="S730" s="173"/>
      <c r="T730" s="173"/>
      <c r="U730" s="173"/>
      <c r="V730" s="173"/>
      <c r="W730" s="173"/>
      <c r="X730" s="173"/>
      <c r="Y730" s="173"/>
      <c r="Z730" s="173"/>
      <c r="AA730" s="173"/>
      <c r="AB730" s="173"/>
      <c r="AC730" s="173"/>
      <c r="AD730" s="173"/>
      <c r="AE730" s="173"/>
      <c r="AF730" s="173"/>
      <c r="AG730" s="173"/>
      <c r="AH730" s="173"/>
      <c r="AI730" s="173"/>
      <c r="AJ730" s="173"/>
      <c r="AK730" s="173"/>
      <c r="AL730" s="173"/>
      <c r="AM730" s="173"/>
      <c r="AN730" s="173"/>
      <c r="AO730" s="173"/>
      <c r="AP730" s="173"/>
      <c r="AQ730" s="173"/>
      <c r="AR730" s="173"/>
      <c r="AS730" s="173"/>
      <c r="AT730" s="173"/>
      <c r="AU730" s="173"/>
      <c r="AV730" s="173"/>
      <c r="AW730" s="173"/>
      <c r="AX730" s="173"/>
      <c r="AY730" s="173"/>
      <c r="AZ730" s="173"/>
      <c r="BA730" s="173"/>
      <c r="BB730" s="173"/>
      <c r="BC730" s="173"/>
      <c r="BD730" s="173"/>
      <c r="BE730" s="173"/>
      <c r="BF730" s="173"/>
      <c r="BG730" s="173"/>
      <c r="BH730" s="173"/>
      <c r="BI730" s="173"/>
      <c r="BJ730" s="173"/>
      <c r="BK730" s="173"/>
      <c r="BL730" s="173"/>
      <c r="BM730" s="173"/>
    </row>
    <row r="731" spans="1:65">
      <c r="A731" s="173"/>
      <c r="B731" s="173"/>
      <c r="C731" s="173"/>
      <c r="D731" s="173"/>
      <c r="E731" s="173"/>
      <c r="F731" s="173"/>
      <c r="G731" s="173"/>
      <c r="H731" s="173"/>
      <c r="I731" s="173"/>
      <c r="J731" s="173"/>
      <c r="K731" s="322"/>
      <c r="L731" s="173"/>
      <c r="M731" s="173"/>
      <c r="Q731" s="173"/>
      <c r="R731" s="173"/>
      <c r="S731" s="173"/>
      <c r="T731" s="173"/>
      <c r="U731" s="173"/>
      <c r="V731" s="173"/>
      <c r="W731" s="173"/>
      <c r="X731" s="173"/>
      <c r="Y731" s="173"/>
      <c r="Z731" s="173"/>
      <c r="AA731" s="173"/>
      <c r="AB731" s="173"/>
      <c r="AC731" s="173"/>
      <c r="AD731" s="173"/>
      <c r="AE731" s="173"/>
      <c r="AF731" s="173"/>
      <c r="AG731" s="173"/>
      <c r="AH731" s="173"/>
      <c r="AI731" s="173"/>
      <c r="AJ731" s="173"/>
      <c r="AK731" s="173"/>
      <c r="AL731" s="173"/>
      <c r="AM731" s="173"/>
      <c r="AN731" s="173"/>
      <c r="AO731" s="173"/>
      <c r="AP731" s="173"/>
      <c r="AQ731" s="173"/>
      <c r="AR731" s="173"/>
      <c r="AS731" s="173"/>
      <c r="AT731" s="173"/>
      <c r="AU731" s="173"/>
      <c r="AV731" s="173"/>
      <c r="AW731" s="173"/>
      <c r="AX731" s="173"/>
      <c r="AY731" s="173"/>
      <c r="AZ731" s="173"/>
      <c r="BA731" s="173"/>
      <c r="BB731" s="173"/>
      <c r="BC731" s="173"/>
      <c r="BD731" s="173"/>
      <c r="BE731" s="173"/>
      <c r="BF731" s="173"/>
      <c r="BG731" s="173"/>
      <c r="BH731" s="173"/>
      <c r="BI731" s="173"/>
      <c r="BJ731" s="173"/>
      <c r="BK731" s="173"/>
      <c r="BL731" s="173"/>
      <c r="BM731" s="173"/>
    </row>
    <row r="732" spans="1:65">
      <c r="A732" s="173"/>
      <c r="B732" s="173"/>
      <c r="C732" s="173"/>
      <c r="D732" s="173"/>
      <c r="E732" s="173"/>
      <c r="F732" s="173"/>
      <c r="G732" s="173"/>
      <c r="H732" s="173"/>
      <c r="I732" s="173"/>
      <c r="J732" s="173"/>
      <c r="K732" s="322"/>
      <c r="L732" s="173"/>
      <c r="M732" s="173"/>
      <c r="Q732" s="173"/>
      <c r="R732" s="173"/>
      <c r="S732" s="173"/>
      <c r="T732" s="173"/>
      <c r="U732" s="173"/>
      <c r="V732" s="173"/>
      <c r="W732" s="173"/>
      <c r="X732" s="173"/>
      <c r="Y732" s="173"/>
      <c r="Z732" s="173"/>
      <c r="AA732" s="173"/>
      <c r="AB732" s="173"/>
      <c r="AC732" s="173"/>
      <c r="AD732" s="173"/>
      <c r="AE732" s="173"/>
      <c r="AF732" s="173"/>
      <c r="AG732" s="173"/>
      <c r="AH732" s="173"/>
      <c r="AI732" s="173"/>
      <c r="AJ732" s="173"/>
      <c r="AK732" s="173"/>
      <c r="AL732" s="173"/>
      <c r="AM732" s="173"/>
      <c r="AN732" s="173"/>
      <c r="AO732" s="173"/>
      <c r="AP732" s="173"/>
      <c r="AQ732" s="173"/>
      <c r="AR732" s="173"/>
      <c r="AS732" s="173"/>
      <c r="AT732" s="173"/>
      <c r="AU732" s="173"/>
      <c r="AV732" s="173"/>
      <c r="AW732" s="173"/>
      <c r="AX732" s="173"/>
      <c r="AY732" s="173"/>
      <c r="AZ732" s="173"/>
      <c r="BA732" s="173"/>
      <c r="BB732" s="173"/>
      <c r="BC732" s="173"/>
      <c r="BD732" s="173"/>
      <c r="BE732" s="173"/>
      <c r="BF732" s="173"/>
      <c r="BG732" s="173"/>
      <c r="BH732" s="173"/>
      <c r="BI732" s="173"/>
      <c r="BJ732" s="173"/>
      <c r="BK732" s="173"/>
      <c r="BL732" s="173"/>
      <c r="BM732" s="173"/>
    </row>
    <row r="733" spans="1:65">
      <c r="A733" s="173"/>
      <c r="B733" s="173"/>
      <c r="C733" s="173"/>
      <c r="D733" s="173"/>
      <c r="E733" s="173"/>
      <c r="F733" s="173"/>
      <c r="G733" s="173"/>
      <c r="H733" s="173"/>
      <c r="I733" s="173"/>
      <c r="J733" s="173"/>
      <c r="K733" s="322"/>
      <c r="L733" s="173"/>
      <c r="M733" s="173"/>
      <c r="Q733" s="173"/>
      <c r="R733" s="173"/>
      <c r="S733" s="173"/>
      <c r="T733" s="173"/>
      <c r="U733" s="173"/>
      <c r="V733" s="173"/>
      <c r="W733" s="173"/>
      <c r="X733" s="173"/>
      <c r="Y733" s="173"/>
      <c r="Z733" s="173"/>
      <c r="AA733" s="173"/>
      <c r="AB733" s="173"/>
      <c r="AC733" s="173"/>
      <c r="AD733" s="173"/>
      <c r="AE733" s="173"/>
      <c r="AF733" s="173"/>
      <c r="AG733" s="173"/>
      <c r="AH733" s="173"/>
      <c r="AI733" s="173"/>
      <c r="AJ733" s="173"/>
      <c r="AK733" s="173"/>
      <c r="AL733" s="173"/>
      <c r="AM733" s="173"/>
      <c r="AN733" s="173"/>
      <c r="AO733" s="173"/>
      <c r="AP733" s="173"/>
      <c r="AQ733" s="173"/>
      <c r="AR733" s="173"/>
      <c r="AS733" s="173"/>
      <c r="AT733" s="173"/>
      <c r="AU733" s="173"/>
      <c r="AV733" s="173"/>
      <c r="AW733" s="173"/>
      <c r="AX733" s="173"/>
      <c r="AY733" s="173"/>
      <c r="AZ733" s="173"/>
      <c r="BA733" s="173"/>
      <c r="BB733" s="173"/>
      <c r="BC733" s="173"/>
      <c r="BD733" s="173"/>
      <c r="BE733" s="173"/>
      <c r="BF733" s="173"/>
      <c r="BG733" s="173"/>
      <c r="BH733" s="173"/>
      <c r="BI733" s="173"/>
      <c r="BJ733" s="173"/>
      <c r="BK733" s="173"/>
      <c r="BL733" s="173"/>
      <c r="BM733" s="173"/>
    </row>
    <row r="734" spans="1:65">
      <c r="A734" s="173"/>
      <c r="B734" s="173"/>
      <c r="C734" s="173"/>
      <c r="D734" s="173"/>
      <c r="E734" s="173"/>
      <c r="F734" s="173"/>
      <c r="G734" s="173"/>
      <c r="H734" s="173"/>
      <c r="I734" s="173"/>
      <c r="J734" s="173"/>
      <c r="K734" s="322"/>
      <c r="L734" s="173"/>
      <c r="M734" s="173"/>
      <c r="Q734" s="173"/>
      <c r="R734" s="173"/>
      <c r="S734" s="173"/>
      <c r="T734" s="173"/>
      <c r="U734" s="173"/>
      <c r="V734" s="173"/>
      <c r="W734" s="173"/>
      <c r="X734" s="173"/>
      <c r="Y734" s="173"/>
      <c r="Z734" s="173"/>
      <c r="AA734" s="173"/>
      <c r="AB734" s="173"/>
      <c r="AC734" s="173"/>
      <c r="AD734" s="173"/>
      <c r="AE734" s="173"/>
      <c r="AF734" s="173"/>
      <c r="AG734" s="173"/>
      <c r="AH734" s="173"/>
      <c r="AI734" s="173"/>
      <c r="AJ734" s="173"/>
      <c r="AK734" s="173"/>
      <c r="AL734" s="173"/>
      <c r="AM734" s="173"/>
      <c r="AN734" s="173"/>
      <c r="AO734" s="173"/>
      <c r="AP734" s="173"/>
      <c r="AQ734" s="173"/>
      <c r="AR734" s="173"/>
      <c r="AS734" s="173"/>
      <c r="AT734" s="173"/>
      <c r="AU734" s="173"/>
      <c r="AV734" s="173"/>
      <c r="AW734" s="173"/>
      <c r="AX734" s="173"/>
      <c r="AY734" s="173"/>
      <c r="AZ734" s="173"/>
      <c r="BA734" s="173"/>
      <c r="BB734" s="173"/>
      <c r="BC734" s="173"/>
      <c r="BD734" s="173"/>
      <c r="BE734" s="173"/>
      <c r="BF734" s="173"/>
      <c r="BG734" s="173"/>
      <c r="BH734" s="173"/>
      <c r="BI734" s="173"/>
      <c r="BJ734" s="173"/>
      <c r="BK734" s="173"/>
      <c r="BL734" s="173"/>
      <c r="BM734" s="173"/>
    </row>
    <row r="735" spans="1:65">
      <c r="A735" s="173"/>
      <c r="B735" s="173"/>
      <c r="C735" s="173"/>
      <c r="D735" s="173"/>
      <c r="E735" s="173"/>
      <c r="F735" s="173"/>
      <c r="G735" s="173"/>
      <c r="H735" s="173"/>
      <c r="I735" s="173"/>
      <c r="J735" s="173"/>
      <c r="K735" s="322"/>
      <c r="L735" s="173"/>
      <c r="M735" s="173"/>
      <c r="Q735" s="173"/>
      <c r="R735" s="173"/>
      <c r="S735" s="173"/>
      <c r="T735" s="173"/>
      <c r="U735" s="173"/>
      <c r="V735" s="173"/>
      <c r="W735" s="173"/>
      <c r="X735" s="173"/>
      <c r="Y735" s="173"/>
      <c r="Z735" s="173"/>
      <c r="AA735" s="173"/>
      <c r="AB735" s="173"/>
      <c r="AC735" s="173"/>
      <c r="AD735" s="173"/>
      <c r="AE735" s="173"/>
      <c r="AF735" s="173"/>
      <c r="AG735" s="173"/>
      <c r="AH735" s="173"/>
      <c r="AI735" s="173"/>
      <c r="AJ735" s="173"/>
      <c r="AK735" s="173"/>
      <c r="AL735" s="173"/>
      <c r="AM735" s="173"/>
      <c r="AN735" s="173"/>
      <c r="AO735" s="173"/>
      <c r="AP735" s="173"/>
      <c r="AQ735" s="173"/>
      <c r="AR735" s="173"/>
      <c r="AS735" s="173"/>
      <c r="AT735" s="173"/>
      <c r="AU735" s="173"/>
      <c r="AV735" s="173"/>
      <c r="AW735" s="173"/>
      <c r="AX735" s="173"/>
      <c r="AY735" s="173"/>
      <c r="AZ735" s="173"/>
      <c r="BA735" s="173"/>
      <c r="BB735" s="173"/>
      <c r="BC735" s="173"/>
      <c r="BD735" s="173"/>
      <c r="BE735" s="173"/>
      <c r="BF735" s="173"/>
      <c r="BG735" s="173"/>
      <c r="BH735" s="173"/>
      <c r="BI735" s="173"/>
      <c r="BJ735" s="173"/>
      <c r="BK735" s="173"/>
      <c r="BL735" s="173"/>
      <c r="BM735" s="173"/>
    </row>
    <row r="736" spans="1:65">
      <c r="A736" s="173"/>
      <c r="B736" s="173"/>
      <c r="C736" s="173"/>
      <c r="D736" s="173"/>
      <c r="E736" s="173"/>
      <c r="F736" s="173"/>
      <c r="G736" s="173"/>
      <c r="H736" s="173"/>
      <c r="I736" s="173"/>
      <c r="J736" s="173"/>
      <c r="K736" s="322"/>
      <c r="L736" s="173"/>
      <c r="M736" s="173"/>
      <c r="Q736" s="173"/>
      <c r="R736" s="173"/>
      <c r="S736" s="173"/>
      <c r="T736" s="173"/>
      <c r="U736" s="173"/>
      <c r="V736" s="173"/>
      <c r="W736" s="173"/>
      <c r="X736" s="173"/>
      <c r="Y736" s="173"/>
      <c r="Z736" s="173"/>
      <c r="AA736" s="173"/>
      <c r="AB736" s="173"/>
      <c r="AC736" s="173"/>
      <c r="AD736" s="173"/>
      <c r="AE736" s="173"/>
      <c r="AF736" s="173"/>
      <c r="AG736" s="173"/>
      <c r="AH736" s="173"/>
      <c r="AI736" s="173"/>
      <c r="AJ736" s="173"/>
      <c r="AK736" s="173"/>
      <c r="AL736" s="173"/>
      <c r="AM736" s="173"/>
      <c r="AN736" s="173"/>
      <c r="AO736" s="173"/>
      <c r="AP736" s="173"/>
      <c r="AQ736" s="173"/>
      <c r="AR736" s="173"/>
      <c r="AS736" s="173"/>
      <c r="AT736" s="173"/>
      <c r="AU736" s="173"/>
      <c r="AV736" s="173"/>
      <c r="AW736" s="173"/>
      <c r="AX736" s="173"/>
      <c r="AY736" s="173"/>
      <c r="AZ736" s="173"/>
      <c r="BA736" s="173"/>
      <c r="BB736" s="173"/>
      <c r="BC736" s="173"/>
      <c r="BD736" s="173"/>
      <c r="BE736" s="173"/>
      <c r="BF736" s="173"/>
      <c r="BG736" s="173"/>
      <c r="BH736" s="173"/>
      <c r="BI736" s="173"/>
      <c r="BJ736" s="173"/>
      <c r="BK736" s="173"/>
      <c r="BL736" s="173"/>
      <c r="BM736" s="173"/>
    </row>
    <row r="737" spans="1:65">
      <c r="A737" s="173"/>
      <c r="B737" s="173"/>
      <c r="C737" s="173"/>
      <c r="D737" s="173"/>
      <c r="E737" s="173"/>
      <c r="F737" s="173"/>
      <c r="G737" s="173"/>
      <c r="H737" s="173"/>
      <c r="I737" s="173"/>
      <c r="J737" s="173"/>
      <c r="K737" s="322"/>
      <c r="L737" s="173"/>
      <c r="M737" s="173"/>
      <c r="Q737" s="173"/>
      <c r="R737" s="173"/>
      <c r="S737" s="173"/>
      <c r="T737" s="173"/>
      <c r="U737" s="173"/>
      <c r="V737" s="173"/>
      <c r="W737" s="173"/>
      <c r="X737" s="173"/>
      <c r="Y737" s="173"/>
      <c r="Z737" s="173"/>
      <c r="AA737" s="173"/>
      <c r="AB737" s="173"/>
      <c r="AC737" s="173"/>
      <c r="AD737" s="173"/>
      <c r="AE737" s="173"/>
      <c r="AF737" s="173"/>
      <c r="AG737" s="173"/>
      <c r="AH737" s="173"/>
      <c r="AI737" s="173"/>
      <c r="AJ737" s="173"/>
      <c r="AK737" s="173"/>
      <c r="AL737" s="173"/>
      <c r="AM737" s="173"/>
      <c r="AN737" s="173"/>
      <c r="AO737" s="173"/>
      <c r="AP737" s="173"/>
      <c r="AQ737" s="173"/>
      <c r="AR737" s="173"/>
      <c r="AS737" s="173"/>
      <c r="AT737" s="173"/>
      <c r="AU737" s="173"/>
      <c r="AV737" s="173"/>
      <c r="AW737" s="173"/>
      <c r="AX737" s="173"/>
      <c r="AY737" s="173"/>
      <c r="AZ737" s="173"/>
      <c r="BA737" s="173"/>
      <c r="BB737" s="173"/>
      <c r="BC737" s="173"/>
      <c r="BD737" s="173"/>
      <c r="BE737" s="173"/>
      <c r="BF737" s="173"/>
      <c r="BG737" s="173"/>
      <c r="BH737" s="173"/>
      <c r="BI737" s="173"/>
      <c r="BJ737" s="173"/>
      <c r="BK737" s="173"/>
      <c r="BL737" s="173"/>
      <c r="BM737" s="173"/>
    </row>
    <row r="738" spans="1:65">
      <c r="A738" s="173"/>
      <c r="B738" s="173"/>
      <c r="C738" s="173"/>
      <c r="D738" s="173"/>
      <c r="E738" s="173"/>
      <c r="F738" s="173"/>
      <c r="G738" s="173"/>
      <c r="H738" s="173"/>
      <c r="I738" s="173"/>
      <c r="J738" s="173"/>
      <c r="K738" s="322"/>
      <c r="L738" s="173"/>
      <c r="M738" s="173"/>
      <c r="Q738" s="173"/>
      <c r="R738" s="173"/>
      <c r="S738" s="173"/>
      <c r="T738" s="173"/>
      <c r="U738" s="173"/>
      <c r="V738" s="173"/>
      <c r="W738" s="173"/>
      <c r="X738" s="173"/>
      <c r="Y738" s="173"/>
      <c r="Z738" s="173"/>
      <c r="AA738" s="173"/>
      <c r="AB738" s="173"/>
      <c r="AC738" s="173"/>
      <c r="AD738" s="173"/>
      <c r="AE738" s="173"/>
      <c r="AF738" s="173"/>
      <c r="AG738" s="173"/>
      <c r="AH738" s="173"/>
      <c r="AI738" s="173"/>
      <c r="AJ738" s="173"/>
      <c r="AK738" s="173"/>
      <c r="AL738" s="173"/>
      <c r="AM738" s="173"/>
      <c r="AN738" s="173"/>
      <c r="AO738" s="173"/>
      <c r="AP738" s="173"/>
      <c r="AQ738" s="173"/>
      <c r="AR738" s="173"/>
      <c r="AS738" s="173"/>
      <c r="AT738" s="173"/>
      <c r="AU738" s="173"/>
      <c r="AV738" s="173"/>
      <c r="AW738" s="173"/>
      <c r="AX738" s="173"/>
      <c r="AY738" s="173"/>
      <c r="AZ738" s="173"/>
      <c r="BA738" s="173"/>
      <c r="BB738" s="173"/>
      <c r="BC738" s="173"/>
      <c r="BD738" s="173"/>
      <c r="BE738" s="173"/>
      <c r="BF738" s="173"/>
      <c r="BG738" s="173"/>
      <c r="BH738" s="173"/>
      <c r="BI738" s="173"/>
      <c r="BJ738" s="173"/>
      <c r="BK738" s="173"/>
      <c r="BL738" s="173"/>
      <c r="BM738" s="173"/>
    </row>
    <row r="739" spans="1:65">
      <c r="A739" s="173"/>
      <c r="B739" s="173"/>
      <c r="C739" s="173"/>
      <c r="D739" s="173"/>
      <c r="E739" s="173"/>
      <c r="F739" s="173"/>
      <c r="G739" s="173"/>
      <c r="H739" s="173"/>
      <c r="I739" s="173"/>
      <c r="J739" s="173"/>
      <c r="K739" s="322"/>
      <c r="L739" s="173"/>
      <c r="M739" s="173"/>
      <c r="Q739" s="173"/>
      <c r="R739" s="173"/>
      <c r="S739" s="173"/>
      <c r="T739" s="173"/>
      <c r="U739" s="173"/>
      <c r="V739" s="173"/>
      <c r="W739" s="173"/>
      <c r="X739" s="173"/>
      <c r="Y739" s="173"/>
      <c r="Z739" s="173"/>
      <c r="AA739" s="173"/>
      <c r="AB739" s="173"/>
      <c r="AC739" s="173"/>
      <c r="AD739" s="173"/>
      <c r="AE739" s="173"/>
      <c r="AF739" s="173"/>
      <c r="AG739" s="173"/>
      <c r="AH739" s="173"/>
      <c r="AI739" s="173"/>
      <c r="AJ739" s="173"/>
      <c r="AK739" s="173"/>
      <c r="AL739" s="173"/>
      <c r="AM739" s="173"/>
      <c r="AN739" s="173"/>
      <c r="AO739" s="173"/>
      <c r="AP739" s="173"/>
      <c r="AQ739" s="173"/>
      <c r="AR739" s="173"/>
      <c r="AS739" s="173"/>
      <c r="AT739" s="173"/>
      <c r="AU739" s="173"/>
      <c r="AV739" s="173"/>
      <c r="AW739" s="173"/>
      <c r="AX739" s="173"/>
      <c r="AY739" s="173"/>
      <c r="AZ739" s="173"/>
      <c r="BA739" s="173"/>
      <c r="BB739" s="173"/>
      <c r="BC739" s="173"/>
      <c r="BD739" s="173"/>
      <c r="BE739" s="173"/>
      <c r="BF739" s="173"/>
      <c r="BG739" s="173"/>
      <c r="BH739" s="173"/>
      <c r="BI739" s="173"/>
      <c r="BJ739" s="173"/>
      <c r="BK739" s="173"/>
      <c r="BL739" s="173"/>
      <c r="BM739" s="173"/>
    </row>
    <row r="740" spans="1:65">
      <c r="A740" s="173"/>
      <c r="B740" s="173"/>
      <c r="C740" s="173"/>
      <c r="D740" s="173"/>
      <c r="E740" s="173"/>
      <c r="F740" s="173"/>
      <c r="G740" s="173"/>
      <c r="H740" s="173"/>
      <c r="I740" s="173"/>
      <c r="J740" s="173"/>
      <c r="K740" s="322"/>
      <c r="L740" s="173"/>
      <c r="M740" s="173"/>
      <c r="Q740" s="173"/>
      <c r="R740" s="173"/>
      <c r="S740" s="173"/>
      <c r="T740" s="173"/>
      <c r="U740" s="173"/>
      <c r="V740" s="173"/>
      <c r="W740" s="173"/>
      <c r="X740" s="173"/>
      <c r="Y740" s="173"/>
      <c r="Z740" s="173"/>
      <c r="AA740" s="173"/>
      <c r="AB740" s="173"/>
      <c r="AC740" s="173"/>
      <c r="AD740" s="173"/>
      <c r="AE740" s="173"/>
      <c r="AF740" s="173"/>
      <c r="AG740" s="173"/>
      <c r="AH740" s="173"/>
      <c r="AI740" s="173"/>
      <c r="AJ740" s="173"/>
      <c r="AK740" s="173"/>
      <c r="AL740" s="173"/>
      <c r="AM740" s="173"/>
      <c r="AN740" s="173"/>
      <c r="AO740" s="173"/>
      <c r="AP740" s="173"/>
      <c r="AQ740" s="173"/>
      <c r="AR740" s="173"/>
      <c r="AS740" s="173"/>
      <c r="AT740" s="173"/>
      <c r="AU740" s="173"/>
      <c r="AV740" s="173"/>
      <c r="AW740" s="173"/>
      <c r="AX740" s="173"/>
      <c r="AY740" s="173"/>
      <c r="AZ740" s="173"/>
      <c r="BA740" s="173"/>
      <c r="BB740" s="173"/>
      <c r="BC740" s="173"/>
      <c r="BD740" s="173"/>
      <c r="BE740" s="173"/>
      <c r="BF740" s="173"/>
      <c r="BG740" s="173"/>
      <c r="BH740" s="173"/>
      <c r="BI740" s="173"/>
      <c r="BJ740" s="173"/>
      <c r="BK740" s="173"/>
      <c r="BL740" s="173"/>
      <c r="BM740" s="173"/>
    </row>
    <row r="741" spans="1:65">
      <c r="A741" s="173"/>
      <c r="B741" s="173"/>
      <c r="C741" s="173"/>
      <c r="D741" s="173"/>
      <c r="E741" s="173"/>
      <c r="F741" s="173"/>
      <c r="G741" s="173"/>
      <c r="H741" s="173"/>
      <c r="I741" s="173"/>
      <c r="J741" s="173"/>
      <c r="K741" s="322"/>
      <c r="L741" s="173"/>
      <c r="M741" s="173"/>
      <c r="Q741" s="173"/>
      <c r="R741" s="173"/>
      <c r="S741" s="173"/>
      <c r="T741" s="173"/>
      <c r="U741" s="173"/>
      <c r="V741" s="173"/>
      <c r="W741" s="173"/>
      <c r="X741" s="173"/>
      <c r="Y741" s="173"/>
      <c r="Z741" s="173"/>
      <c r="AA741" s="173"/>
      <c r="AB741" s="173"/>
      <c r="AC741" s="173"/>
      <c r="AD741" s="173"/>
      <c r="AE741" s="173"/>
      <c r="AF741" s="173"/>
      <c r="AG741" s="173"/>
      <c r="AH741" s="173"/>
      <c r="AI741" s="173"/>
      <c r="AJ741" s="173"/>
      <c r="AK741" s="173"/>
      <c r="AL741" s="173"/>
      <c r="AM741" s="173"/>
      <c r="AN741" s="173"/>
      <c r="AO741" s="173"/>
      <c r="AP741" s="173"/>
      <c r="AQ741" s="173"/>
      <c r="AR741" s="173"/>
      <c r="AS741" s="173"/>
      <c r="AT741" s="173"/>
      <c r="AU741" s="173"/>
      <c r="AV741" s="173"/>
      <c r="AW741" s="173"/>
      <c r="AX741" s="173"/>
      <c r="AY741" s="173"/>
      <c r="AZ741" s="173"/>
      <c r="BA741" s="173"/>
      <c r="BB741" s="173"/>
      <c r="BC741" s="173"/>
      <c r="BD741" s="173"/>
      <c r="BE741" s="173"/>
      <c r="BF741" s="173"/>
      <c r="BG741" s="173"/>
      <c r="BH741" s="173"/>
      <c r="BI741" s="173"/>
      <c r="BJ741" s="173"/>
      <c r="BK741" s="173"/>
      <c r="BL741" s="173"/>
      <c r="BM741" s="173"/>
    </row>
    <row r="742" spans="1:65">
      <c r="A742" s="173"/>
      <c r="B742" s="173"/>
      <c r="C742" s="173"/>
      <c r="D742" s="173"/>
      <c r="E742" s="173"/>
      <c r="F742" s="173"/>
      <c r="G742" s="173"/>
      <c r="H742" s="173"/>
      <c r="I742" s="173"/>
      <c r="J742" s="173"/>
      <c r="K742" s="322"/>
      <c r="L742" s="173"/>
      <c r="M742" s="173"/>
      <c r="Q742" s="173"/>
      <c r="R742" s="173"/>
      <c r="S742" s="173"/>
      <c r="T742" s="173"/>
      <c r="U742" s="173"/>
      <c r="V742" s="173"/>
      <c r="W742" s="173"/>
      <c r="X742" s="173"/>
      <c r="Y742" s="173"/>
      <c r="Z742" s="173"/>
      <c r="AA742" s="173"/>
      <c r="AB742" s="173"/>
      <c r="AC742" s="173"/>
      <c r="AD742" s="173"/>
      <c r="AE742" s="173"/>
      <c r="AF742" s="173"/>
      <c r="AG742" s="173"/>
      <c r="AH742" s="173"/>
      <c r="AI742" s="173"/>
      <c r="AJ742" s="173"/>
      <c r="AK742" s="173"/>
      <c r="AL742" s="173"/>
      <c r="AM742" s="173"/>
      <c r="AN742" s="173"/>
      <c r="AO742" s="173"/>
      <c r="AP742" s="173"/>
      <c r="AQ742" s="173"/>
      <c r="AR742" s="173"/>
      <c r="AS742" s="173"/>
      <c r="AT742" s="173"/>
      <c r="AU742" s="173"/>
      <c r="AV742" s="173"/>
      <c r="AW742" s="173"/>
      <c r="AX742" s="173"/>
      <c r="AY742" s="173"/>
      <c r="AZ742" s="173"/>
      <c r="BA742" s="173"/>
      <c r="BB742" s="173"/>
      <c r="BC742" s="173"/>
      <c r="BD742" s="173"/>
      <c r="BE742" s="173"/>
      <c r="BF742" s="173"/>
      <c r="BG742" s="173"/>
      <c r="BH742" s="173"/>
      <c r="BI742" s="173"/>
      <c r="BJ742" s="173"/>
      <c r="BK742" s="173"/>
      <c r="BL742" s="173"/>
      <c r="BM742" s="173"/>
    </row>
    <row r="743" spans="1:65">
      <c r="A743" s="173"/>
      <c r="B743" s="173"/>
      <c r="C743" s="173"/>
      <c r="D743" s="173"/>
      <c r="E743" s="173"/>
      <c r="F743" s="173"/>
      <c r="G743" s="173"/>
      <c r="H743" s="173"/>
      <c r="I743" s="173"/>
      <c r="J743" s="173"/>
      <c r="K743" s="322"/>
      <c r="L743" s="173"/>
      <c r="M743" s="173"/>
      <c r="Q743" s="173"/>
      <c r="R743" s="173"/>
      <c r="S743" s="173"/>
      <c r="T743" s="173"/>
      <c r="U743" s="173"/>
      <c r="V743" s="173"/>
      <c r="W743" s="173"/>
      <c r="X743" s="173"/>
      <c r="Y743" s="173"/>
      <c r="Z743" s="173"/>
      <c r="AA743" s="173"/>
      <c r="AB743" s="173"/>
      <c r="AC743" s="173"/>
      <c r="AD743" s="173"/>
      <c r="AE743" s="173"/>
      <c r="AF743" s="173"/>
      <c r="AG743" s="173"/>
      <c r="AH743" s="173"/>
      <c r="AI743" s="173"/>
      <c r="AJ743" s="173"/>
      <c r="AK743" s="173"/>
      <c r="AL743" s="173"/>
      <c r="AM743" s="173"/>
      <c r="AN743" s="173"/>
      <c r="AO743" s="173"/>
      <c r="AP743" s="173"/>
      <c r="AQ743" s="173"/>
      <c r="AR743" s="173"/>
      <c r="AS743" s="173"/>
      <c r="AT743" s="173"/>
      <c r="AU743" s="173"/>
      <c r="AV743" s="173"/>
      <c r="AW743" s="173"/>
      <c r="AX743" s="173"/>
      <c r="AY743" s="173"/>
      <c r="AZ743" s="173"/>
      <c r="BA743" s="173"/>
      <c r="BB743" s="173"/>
      <c r="BC743" s="173"/>
      <c r="BD743" s="173"/>
      <c r="BE743" s="173"/>
      <c r="BF743" s="173"/>
      <c r="BG743" s="173"/>
      <c r="BH743" s="173"/>
      <c r="BI743" s="173"/>
      <c r="BJ743" s="173"/>
      <c r="BK743" s="173"/>
      <c r="BL743" s="173"/>
      <c r="BM743" s="173"/>
    </row>
    <row r="744" spans="1:65">
      <c r="A744" s="173"/>
      <c r="B744" s="173"/>
      <c r="C744" s="173"/>
      <c r="D744" s="173"/>
      <c r="E744" s="173"/>
      <c r="F744" s="173"/>
      <c r="G744" s="173"/>
      <c r="H744" s="173"/>
      <c r="I744" s="173"/>
      <c r="J744" s="173"/>
      <c r="K744" s="322"/>
      <c r="L744" s="173"/>
      <c r="M744" s="173"/>
      <c r="Q744" s="173"/>
      <c r="R744" s="173"/>
      <c r="S744" s="173"/>
      <c r="T744" s="173"/>
      <c r="U744" s="173"/>
      <c r="V744" s="173"/>
      <c r="W744" s="173"/>
      <c r="X744" s="173"/>
      <c r="Y744" s="173"/>
      <c r="Z744" s="173"/>
      <c r="AA744" s="173"/>
      <c r="AB744" s="173"/>
      <c r="AC744" s="173"/>
      <c r="AD744" s="173"/>
      <c r="AE744" s="173"/>
      <c r="AF744" s="173"/>
      <c r="AG744" s="173"/>
      <c r="AH744" s="173"/>
      <c r="AI744" s="173"/>
      <c r="AJ744" s="173"/>
      <c r="AK744" s="173"/>
      <c r="AL744" s="173"/>
      <c r="AM744" s="173"/>
      <c r="AN744" s="173"/>
      <c r="AO744" s="173"/>
      <c r="AP744" s="173"/>
      <c r="AQ744" s="173"/>
      <c r="AR744" s="173"/>
      <c r="AS744" s="173"/>
      <c r="AT744" s="173"/>
      <c r="AU744" s="173"/>
      <c r="AV744" s="173"/>
      <c r="AW744" s="173"/>
      <c r="AX744" s="173"/>
      <c r="AY744" s="173"/>
      <c r="AZ744" s="173"/>
      <c r="BA744" s="173"/>
      <c r="BB744" s="173"/>
      <c r="BC744" s="173"/>
      <c r="BD744" s="173"/>
      <c r="BE744" s="173"/>
      <c r="BF744" s="173"/>
      <c r="BG744" s="173"/>
      <c r="BH744" s="173"/>
      <c r="BI744" s="173"/>
      <c r="BJ744" s="173"/>
      <c r="BK744" s="173"/>
      <c r="BL744" s="173"/>
      <c r="BM744" s="173"/>
    </row>
    <row r="745" spans="1:65">
      <c r="A745" s="173"/>
      <c r="B745" s="173"/>
      <c r="C745" s="173"/>
      <c r="D745" s="173"/>
      <c r="E745" s="173"/>
      <c r="F745" s="173"/>
      <c r="G745" s="173"/>
      <c r="H745" s="173"/>
      <c r="I745" s="173"/>
      <c r="J745" s="173"/>
      <c r="K745" s="322"/>
      <c r="L745" s="173"/>
      <c r="M745" s="173"/>
      <c r="Q745" s="173"/>
      <c r="R745" s="173"/>
      <c r="S745" s="173"/>
      <c r="T745" s="173"/>
      <c r="U745" s="173"/>
      <c r="V745" s="173"/>
      <c r="W745" s="173"/>
      <c r="X745" s="173"/>
      <c r="Y745" s="173"/>
      <c r="Z745" s="173"/>
      <c r="AA745" s="173"/>
      <c r="AB745" s="173"/>
      <c r="AC745" s="173"/>
      <c r="AD745" s="173"/>
      <c r="AE745" s="173"/>
      <c r="AF745" s="173"/>
      <c r="AG745" s="173"/>
      <c r="AH745" s="173"/>
      <c r="AI745" s="173"/>
      <c r="AJ745" s="173"/>
      <c r="AK745" s="173"/>
      <c r="AL745" s="173"/>
      <c r="AM745" s="173"/>
      <c r="AN745" s="173"/>
      <c r="AO745" s="173"/>
      <c r="AP745" s="173"/>
      <c r="AQ745" s="173"/>
      <c r="AR745" s="173"/>
      <c r="AS745" s="173"/>
      <c r="AT745" s="173"/>
      <c r="AU745" s="173"/>
      <c r="AV745" s="173"/>
      <c r="AW745" s="173"/>
      <c r="AX745" s="173"/>
      <c r="AY745" s="173"/>
      <c r="AZ745" s="173"/>
      <c r="BA745" s="173"/>
      <c r="BB745" s="173"/>
      <c r="BC745" s="173"/>
      <c r="BD745" s="173"/>
      <c r="BE745" s="173"/>
      <c r="BF745" s="173"/>
      <c r="BG745" s="173"/>
      <c r="BH745" s="173"/>
      <c r="BI745" s="173"/>
      <c r="BJ745" s="173"/>
      <c r="BK745" s="173"/>
      <c r="BL745" s="173"/>
      <c r="BM745" s="173"/>
    </row>
    <row r="746" spans="1:65">
      <c r="A746" s="173"/>
      <c r="B746" s="173"/>
      <c r="C746" s="173"/>
      <c r="D746" s="173"/>
      <c r="E746" s="173"/>
      <c r="F746" s="173"/>
      <c r="G746" s="173"/>
      <c r="H746" s="173"/>
      <c r="I746" s="173"/>
      <c r="J746" s="173"/>
      <c r="K746" s="322"/>
      <c r="L746" s="173"/>
      <c r="M746" s="173"/>
      <c r="Q746" s="173"/>
      <c r="R746" s="173"/>
      <c r="S746" s="173"/>
      <c r="T746" s="173"/>
      <c r="U746" s="173"/>
      <c r="V746" s="173"/>
      <c r="W746" s="173"/>
      <c r="X746" s="173"/>
      <c r="Y746" s="173"/>
      <c r="Z746" s="173"/>
      <c r="AA746" s="173"/>
      <c r="AB746" s="173"/>
      <c r="AC746" s="173"/>
      <c r="AD746" s="173"/>
      <c r="AE746" s="173"/>
      <c r="AF746" s="173"/>
      <c r="AG746" s="173"/>
      <c r="AH746" s="173"/>
      <c r="AI746" s="173"/>
      <c r="AJ746" s="173"/>
      <c r="AK746" s="173"/>
      <c r="AL746" s="173"/>
      <c r="AM746" s="173"/>
      <c r="AN746" s="173"/>
      <c r="AO746" s="173"/>
      <c r="AP746" s="173"/>
      <c r="AQ746" s="173"/>
      <c r="AR746" s="173"/>
      <c r="AS746" s="173"/>
      <c r="AT746" s="173"/>
      <c r="AU746" s="173"/>
      <c r="AV746" s="173"/>
      <c r="AW746" s="173"/>
      <c r="AX746" s="173"/>
      <c r="AY746" s="173"/>
      <c r="AZ746" s="173"/>
      <c r="BA746" s="173"/>
      <c r="BB746" s="173"/>
      <c r="BC746" s="173"/>
      <c r="BD746" s="173"/>
      <c r="BE746" s="173"/>
      <c r="BF746" s="173"/>
      <c r="BG746" s="173"/>
      <c r="BH746" s="173"/>
      <c r="BI746" s="173"/>
      <c r="BJ746" s="173"/>
      <c r="BK746" s="173"/>
      <c r="BL746" s="173"/>
      <c r="BM746" s="173"/>
    </row>
    <row r="747" spans="1:65">
      <c r="A747" s="173"/>
      <c r="B747" s="173"/>
      <c r="C747" s="173"/>
      <c r="D747" s="173"/>
      <c r="E747" s="173"/>
      <c r="F747" s="173"/>
      <c r="G747" s="173"/>
      <c r="H747" s="173"/>
      <c r="I747" s="173"/>
      <c r="J747" s="173"/>
      <c r="K747" s="322"/>
      <c r="L747" s="173"/>
      <c r="M747" s="173"/>
      <c r="Q747" s="173"/>
      <c r="R747" s="173"/>
      <c r="S747" s="173"/>
      <c r="T747" s="173"/>
      <c r="U747" s="173"/>
      <c r="V747" s="173"/>
      <c r="W747" s="173"/>
      <c r="X747" s="173"/>
      <c r="Y747" s="173"/>
      <c r="Z747" s="173"/>
      <c r="AA747" s="173"/>
      <c r="AB747" s="173"/>
      <c r="AC747" s="173"/>
      <c r="AD747" s="173"/>
      <c r="AE747" s="173"/>
      <c r="AF747" s="173"/>
      <c r="AG747" s="173"/>
      <c r="AH747" s="173"/>
      <c r="AI747" s="173"/>
      <c r="AJ747" s="173"/>
      <c r="AK747" s="173"/>
      <c r="AL747" s="173"/>
      <c r="AM747" s="173"/>
      <c r="AN747" s="173"/>
      <c r="AO747" s="173"/>
      <c r="AP747" s="173"/>
      <c r="AQ747" s="173"/>
      <c r="AR747" s="173"/>
      <c r="AS747" s="173"/>
      <c r="AT747" s="173"/>
      <c r="AU747" s="173"/>
      <c r="AV747" s="173"/>
      <c r="AW747" s="173"/>
      <c r="AX747" s="173"/>
      <c r="AY747" s="173"/>
      <c r="AZ747" s="173"/>
      <c r="BA747" s="173"/>
      <c r="BB747" s="173"/>
      <c r="BC747" s="173"/>
      <c r="BD747" s="173"/>
      <c r="BE747" s="173"/>
      <c r="BF747" s="173"/>
      <c r="BG747" s="173"/>
      <c r="BH747" s="173"/>
      <c r="BI747" s="173"/>
      <c r="BJ747" s="173"/>
      <c r="BK747" s="173"/>
      <c r="BL747" s="173"/>
      <c r="BM747" s="173"/>
    </row>
    <row r="748" spans="1:65">
      <c r="A748" s="173"/>
      <c r="B748" s="173"/>
      <c r="C748" s="173"/>
      <c r="D748" s="173"/>
      <c r="E748" s="173"/>
      <c r="F748" s="173"/>
      <c r="G748" s="173"/>
      <c r="H748" s="173"/>
      <c r="I748" s="173"/>
      <c r="J748" s="173"/>
      <c r="K748" s="322"/>
      <c r="L748" s="173"/>
      <c r="M748" s="173"/>
      <c r="Q748" s="173"/>
      <c r="R748" s="173"/>
      <c r="S748" s="173"/>
      <c r="T748" s="173"/>
      <c r="U748" s="173"/>
      <c r="V748" s="173"/>
      <c r="W748" s="173"/>
      <c r="X748" s="173"/>
      <c r="Y748" s="173"/>
      <c r="Z748" s="173"/>
      <c r="AA748" s="173"/>
      <c r="AB748" s="173"/>
      <c r="AC748" s="173"/>
      <c r="AD748" s="173"/>
      <c r="AE748" s="173"/>
      <c r="AF748" s="173"/>
      <c r="AG748" s="173"/>
      <c r="AH748" s="173"/>
      <c r="AI748" s="173"/>
      <c r="AJ748" s="173"/>
      <c r="AK748" s="173"/>
      <c r="AL748" s="173"/>
      <c r="AM748" s="173"/>
      <c r="AN748" s="173"/>
      <c r="AO748" s="173"/>
      <c r="AP748" s="173"/>
      <c r="AQ748" s="173"/>
      <c r="AR748" s="173"/>
      <c r="AS748" s="173"/>
      <c r="AT748" s="173"/>
      <c r="AU748" s="173"/>
      <c r="AV748" s="173"/>
      <c r="AW748" s="173"/>
      <c r="AX748" s="173"/>
      <c r="AY748" s="173"/>
      <c r="AZ748" s="173"/>
      <c r="BA748" s="173"/>
      <c r="BB748" s="173"/>
      <c r="BC748" s="173"/>
      <c r="BD748" s="173"/>
      <c r="BE748" s="173"/>
      <c r="BF748" s="173"/>
      <c r="BG748" s="173"/>
      <c r="BH748" s="173"/>
      <c r="BI748" s="173"/>
      <c r="BJ748" s="173"/>
      <c r="BK748" s="173"/>
      <c r="BL748" s="173"/>
      <c r="BM748" s="173"/>
    </row>
    <row r="749" spans="1:65">
      <c r="A749" s="173"/>
      <c r="B749" s="173"/>
      <c r="C749" s="173"/>
      <c r="D749" s="173"/>
      <c r="E749" s="173"/>
      <c r="F749" s="173"/>
      <c r="G749" s="173"/>
      <c r="H749" s="173"/>
      <c r="I749" s="173"/>
      <c r="J749" s="173"/>
      <c r="K749" s="322"/>
      <c r="L749" s="173"/>
      <c r="M749" s="173"/>
      <c r="Q749" s="173"/>
      <c r="R749" s="173"/>
      <c r="S749" s="173"/>
      <c r="T749" s="173"/>
      <c r="U749" s="173"/>
      <c r="V749" s="173"/>
      <c r="W749" s="173"/>
      <c r="X749" s="173"/>
      <c r="Y749" s="173"/>
      <c r="Z749" s="173"/>
      <c r="AA749" s="173"/>
      <c r="AB749" s="173"/>
      <c r="AC749" s="173"/>
      <c r="AD749" s="173"/>
      <c r="AE749" s="173"/>
      <c r="AF749" s="173"/>
      <c r="AG749" s="173"/>
      <c r="AH749" s="173"/>
      <c r="AI749" s="173"/>
      <c r="AJ749" s="173"/>
      <c r="AK749" s="173"/>
      <c r="AL749" s="173"/>
      <c r="AM749" s="173"/>
      <c r="AN749" s="173"/>
      <c r="AO749" s="173"/>
      <c r="AP749" s="173"/>
      <c r="AQ749" s="173"/>
      <c r="AR749" s="173"/>
      <c r="AS749" s="173"/>
      <c r="AT749" s="173"/>
      <c r="AU749" s="173"/>
      <c r="AV749" s="173"/>
      <c r="AW749" s="173"/>
      <c r="AX749" s="173"/>
      <c r="AY749" s="173"/>
      <c r="AZ749" s="173"/>
      <c r="BA749" s="173"/>
      <c r="BB749" s="173"/>
      <c r="BC749" s="173"/>
      <c r="BD749" s="173"/>
      <c r="BE749" s="173"/>
      <c r="BF749" s="173"/>
      <c r="BG749" s="173"/>
      <c r="BH749" s="173"/>
      <c r="BI749" s="173"/>
      <c r="BJ749" s="173"/>
      <c r="BK749" s="173"/>
      <c r="BL749" s="173"/>
      <c r="BM749" s="173"/>
    </row>
    <row r="750" spans="1:65">
      <c r="A750" s="173"/>
      <c r="B750" s="173"/>
      <c r="C750" s="173"/>
      <c r="D750" s="173"/>
      <c r="E750" s="173"/>
      <c r="F750" s="173"/>
      <c r="G750" s="173"/>
      <c r="H750" s="173"/>
      <c r="I750" s="173"/>
      <c r="J750" s="173"/>
      <c r="K750" s="322"/>
      <c r="L750" s="173"/>
      <c r="M750" s="173"/>
      <c r="Q750" s="173"/>
      <c r="R750" s="173"/>
      <c r="S750" s="173"/>
      <c r="T750" s="173"/>
      <c r="U750" s="173"/>
      <c r="V750" s="173"/>
      <c r="W750" s="173"/>
      <c r="X750" s="173"/>
      <c r="Y750" s="173"/>
      <c r="Z750" s="173"/>
      <c r="AA750" s="173"/>
      <c r="AB750" s="173"/>
      <c r="AC750" s="173"/>
      <c r="AD750" s="173"/>
      <c r="AE750" s="173"/>
      <c r="AF750" s="173"/>
      <c r="AG750" s="173"/>
      <c r="AH750" s="173"/>
      <c r="AI750" s="173"/>
      <c r="AJ750" s="173"/>
      <c r="AK750" s="173"/>
      <c r="AL750" s="173"/>
      <c r="AM750" s="173"/>
      <c r="AN750" s="173"/>
      <c r="AO750" s="173"/>
      <c r="AP750" s="173"/>
      <c r="AQ750" s="173"/>
      <c r="AR750" s="173"/>
      <c r="AS750" s="173"/>
      <c r="AT750" s="173"/>
      <c r="AU750" s="173"/>
      <c r="AV750" s="173"/>
      <c r="AW750" s="173"/>
      <c r="AX750" s="173"/>
      <c r="AY750" s="173"/>
      <c r="AZ750" s="173"/>
      <c r="BA750" s="173"/>
      <c r="BB750" s="173"/>
      <c r="BC750" s="173"/>
      <c r="BD750" s="173"/>
      <c r="BE750" s="173"/>
      <c r="BF750" s="173"/>
      <c r="BG750" s="173"/>
      <c r="BH750" s="173"/>
      <c r="BI750" s="173"/>
      <c r="BJ750" s="173"/>
      <c r="BK750" s="173"/>
      <c r="BL750" s="173"/>
      <c r="BM750" s="173"/>
    </row>
    <row r="751" spans="1:65">
      <c r="A751" s="173"/>
      <c r="B751" s="173"/>
      <c r="C751" s="173"/>
      <c r="D751" s="173"/>
      <c r="E751" s="173"/>
      <c r="F751" s="173"/>
      <c r="G751" s="173"/>
      <c r="H751" s="173"/>
      <c r="I751" s="173"/>
      <c r="J751" s="173"/>
      <c r="K751" s="322"/>
      <c r="L751" s="173"/>
      <c r="M751" s="173"/>
      <c r="Q751" s="173"/>
      <c r="R751" s="173"/>
      <c r="S751" s="173"/>
      <c r="T751" s="173"/>
      <c r="U751" s="173"/>
      <c r="V751" s="173"/>
      <c r="W751" s="173"/>
      <c r="X751" s="173"/>
      <c r="Y751" s="173"/>
      <c r="Z751" s="173"/>
      <c r="AA751" s="173"/>
      <c r="AB751" s="173"/>
      <c r="AC751" s="173"/>
      <c r="AD751" s="173"/>
      <c r="AE751" s="173"/>
      <c r="AF751" s="173"/>
      <c r="AG751" s="173"/>
      <c r="AH751" s="173"/>
      <c r="AI751" s="173"/>
      <c r="AJ751" s="173"/>
      <c r="AK751" s="173"/>
      <c r="AL751" s="173"/>
      <c r="AM751" s="173"/>
      <c r="AN751" s="173"/>
      <c r="AO751" s="173"/>
      <c r="AP751" s="173"/>
      <c r="AQ751" s="173"/>
      <c r="AR751" s="173"/>
      <c r="AS751" s="173"/>
      <c r="AT751" s="173"/>
      <c r="AU751" s="173"/>
      <c r="AV751" s="173"/>
      <c r="AW751" s="173"/>
      <c r="AX751" s="173"/>
      <c r="AY751" s="173"/>
      <c r="AZ751" s="173"/>
      <c r="BA751" s="173"/>
      <c r="BB751" s="173"/>
      <c r="BC751" s="173"/>
      <c r="BD751" s="173"/>
      <c r="BE751" s="173"/>
      <c r="BF751" s="173"/>
      <c r="BG751" s="173"/>
      <c r="BH751" s="173"/>
      <c r="BI751" s="173"/>
      <c r="BJ751" s="173"/>
      <c r="BK751" s="173"/>
      <c r="BL751" s="173"/>
      <c r="BM751" s="173"/>
    </row>
    <row r="752" spans="1:65">
      <c r="A752" s="173"/>
      <c r="B752" s="173"/>
      <c r="C752" s="173"/>
      <c r="D752" s="173"/>
      <c r="E752" s="173"/>
      <c r="F752" s="173"/>
      <c r="G752" s="173"/>
      <c r="H752" s="173"/>
      <c r="I752" s="173"/>
      <c r="J752" s="173"/>
      <c r="K752" s="322"/>
      <c r="L752" s="173"/>
      <c r="M752" s="173"/>
      <c r="Q752" s="173"/>
      <c r="R752" s="173"/>
      <c r="S752" s="173"/>
      <c r="T752" s="173"/>
      <c r="U752" s="173"/>
      <c r="V752" s="173"/>
      <c r="W752" s="173"/>
      <c r="X752" s="173"/>
      <c r="Y752" s="173"/>
      <c r="Z752" s="173"/>
      <c r="AA752" s="173"/>
      <c r="AB752" s="173"/>
      <c r="AC752" s="173"/>
      <c r="AD752" s="173"/>
      <c r="AE752" s="173"/>
      <c r="AF752" s="173"/>
      <c r="AG752" s="173"/>
      <c r="AH752" s="173"/>
      <c r="AI752" s="173"/>
      <c r="AJ752" s="173"/>
      <c r="AK752" s="173"/>
      <c r="AL752" s="173"/>
      <c r="AM752" s="173"/>
      <c r="AN752" s="173"/>
      <c r="AO752" s="173"/>
      <c r="AP752" s="173"/>
      <c r="AQ752" s="173"/>
      <c r="AR752" s="173"/>
      <c r="AS752" s="173"/>
      <c r="AT752" s="173"/>
      <c r="AU752" s="173"/>
      <c r="AV752" s="173"/>
      <c r="AW752" s="173"/>
      <c r="AX752" s="173"/>
      <c r="AY752" s="173"/>
      <c r="AZ752" s="173"/>
      <c r="BA752" s="173"/>
      <c r="BB752" s="173"/>
      <c r="BC752" s="173"/>
      <c r="BD752" s="173"/>
      <c r="BE752" s="173"/>
      <c r="BF752" s="173"/>
      <c r="BG752" s="173"/>
      <c r="BH752" s="173"/>
      <c r="BI752" s="173"/>
      <c r="BJ752" s="173"/>
      <c r="BK752" s="173"/>
      <c r="BL752" s="173"/>
      <c r="BM752" s="173"/>
    </row>
    <row r="753" spans="1:65">
      <c r="A753" s="173"/>
      <c r="B753" s="173"/>
      <c r="C753" s="173"/>
      <c r="D753" s="173"/>
      <c r="E753" s="173"/>
      <c r="F753" s="173"/>
      <c r="G753" s="173"/>
      <c r="H753" s="173"/>
      <c r="I753" s="173"/>
      <c r="J753" s="173"/>
      <c r="K753" s="322"/>
      <c r="L753" s="173"/>
      <c r="M753" s="173"/>
      <c r="Q753" s="173"/>
      <c r="R753" s="173"/>
      <c r="S753" s="173"/>
      <c r="T753" s="173"/>
      <c r="U753" s="173"/>
      <c r="V753" s="173"/>
      <c r="W753" s="173"/>
      <c r="X753" s="173"/>
      <c r="Y753" s="173"/>
      <c r="Z753" s="173"/>
      <c r="AA753" s="173"/>
      <c r="AB753" s="173"/>
      <c r="AC753" s="173"/>
      <c r="AD753" s="173"/>
      <c r="AE753" s="173"/>
      <c r="AF753" s="173"/>
      <c r="AG753" s="173"/>
      <c r="AH753" s="173"/>
      <c r="AI753" s="173"/>
      <c r="AJ753" s="173"/>
      <c r="AK753" s="173"/>
      <c r="AL753" s="173"/>
      <c r="AM753" s="173"/>
      <c r="AN753" s="173"/>
      <c r="AO753" s="173"/>
      <c r="AP753" s="173"/>
      <c r="AQ753" s="173"/>
      <c r="AR753" s="173"/>
      <c r="AS753" s="173"/>
      <c r="AT753" s="173"/>
      <c r="AU753" s="173"/>
      <c r="AV753" s="173"/>
      <c r="AW753" s="173"/>
      <c r="AX753" s="173"/>
      <c r="AY753" s="173"/>
      <c r="AZ753" s="173"/>
      <c r="BA753" s="173"/>
      <c r="BB753" s="173"/>
      <c r="BC753" s="173"/>
      <c r="BD753" s="173"/>
      <c r="BE753" s="173"/>
      <c r="BF753" s="173"/>
      <c r="BG753" s="173"/>
      <c r="BH753" s="173"/>
      <c r="BI753" s="173"/>
      <c r="BJ753" s="173"/>
      <c r="BK753" s="173"/>
      <c r="BL753" s="173"/>
      <c r="BM753" s="173"/>
    </row>
    <row r="754" spans="1:65">
      <c r="A754" s="173"/>
      <c r="B754" s="173"/>
      <c r="C754" s="173"/>
      <c r="D754" s="173"/>
      <c r="E754" s="173"/>
      <c r="F754" s="173"/>
      <c r="G754" s="173"/>
      <c r="H754" s="173"/>
      <c r="I754" s="173"/>
      <c r="J754" s="173"/>
      <c r="K754" s="322"/>
      <c r="L754" s="173"/>
      <c r="M754" s="173"/>
      <c r="Q754" s="173"/>
      <c r="R754" s="173"/>
      <c r="S754" s="173"/>
      <c r="T754" s="173"/>
      <c r="U754" s="173"/>
      <c r="V754" s="173"/>
      <c r="W754" s="173"/>
      <c r="X754" s="173"/>
      <c r="Y754" s="173"/>
      <c r="Z754" s="173"/>
      <c r="AA754" s="173"/>
      <c r="AB754" s="173"/>
      <c r="AC754" s="173"/>
      <c r="AD754" s="173"/>
      <c r="AE754" s="173"/>
      <c r="AF754" s="173"/>
      <c r="AG754" s="173"/>
      <c r="AH754" s="173"/>
      <c r="AI754" s="173"/>
      <c r="AJ754" s="173"/>
      <c r="AK754" s="173"/>
      <c r="AL754" s="173"/>
      <c r="AM754" s="173"/>
      <c r="AN754" s="173"/>
      <c r="AO754" s="173"/>
      <c r="AP754" s="173"/>
      <c r="AQ754" s="173"/>
      <c r="AR754" s="173"/>
      <c r="AS754" s="173"/>
      <c r="AT754" s="173"/>
      <c r="AU754" s="173"/>
      <c r="AV754" s="173"/>
      <c r="AW754" s="173"/>
      <c r="AX754" s="173"/>
      <c r="AY754" s="173"/>
      <c r="AZ754" s="173"/>
      <c r="BA754" s="173"/>
      <c r="BB754" s="173"/>
      <c r="BC754" s="173"/>
      <c r="BD754" s="173"/>
      <c r="BE754" s="173"/>
      <c r="BF754" s="173"/>
      <c r="BG754" s="173"/>
      <c r="BH754" s="173"/>
      <c r="BI754" s="173"/>
      <c r="BJ754" s="173"/>
      <c r="BK754" s="173"/>
      <c r="BL754" s="173"/>
      <c r="BM754" s="173"/>
    </row>
    <row r="755" spans="1:65">
      <c r="A755" s="173"/>
      <c r="B755" s="173"/>
      <c r="C755" s="173"/>
      <c r="D755" s="173"/>
      <c r="E755" s="173"/>
      <c r="F755" s="173"/>
      <c r="G755" s="173"/>
      <c r="H755" s="173"/>
      <c r="I755" s="173"/>
      <c r="J755" s="173"/>
      <c r="K755" s="322"/>
      <c r="L755" s="173"/>
      <c r="M755" s="173"/>
      <c r="Q755" s="173"/>
      <c r="R755" s="173"/>
      <c r="S755" s="173"/>
      <c r="T755" s="173"/>
      <c r="U755" s="173"/>
      <c r="V755" s="173"/>
      <c r="W755" s="173"/>
      <c r="X755" s="173"/>
      <c r="Y755" s="173"/>
      <c r="Z755" s="173"/>
      <c r="AA755" s="173"/>
      <c r="AB755" s="173"/>
      <c r="AC755" s="173"/>
      <c r="AD755" s="173"/>
      <c r="AE755" s="173"/>
      <c r="AF755" s="173"/>
      <c r="AG755" s="173"/>
      <c r="AH755" s="173"/>
      <c r="AI755" s="173"/>
      <c r="AJ755" s="173"/>
      <c r="AK755" s="173"/>
      <c r="AL755" s="173"/>
      <c r="AM755" s="173"/>
      <c r="AN755" s="173"/>
      <c r="AO755" s="173"/>
      <c r="AP755" s="173"/>
      <c r="AQ755" s="173"/>
      <c r="AR755" s="173"/>
      <c r="AS755" s="173"/>
      <c r="AT755" s="173"/>
      <c r="AU755" s="173"/>
      <c r="AV755" s="173"/>
      <c r="AW755" s="173"/>
      <c r="AX755" s="173"/>
      <c r="AY755" s="173"/>
      <c r="AZ755" s="173"/>
      <c r="BA755" s="173"/>
      <c r="BB755" s="173"/>
      <c r="BC755" s="173"/>
      <c r="BD755" s="173"/>
      <c r="BE755" s="173"/>
      <c r="BF755" s="173"/>
      <c r="BG755" s="173"/>
      <c r="BH755" s="173"/>
      <c r="BI755" s="173"/>
      <c r="BJ755" s="173"/>
      <c r="BK755" s="173"/>
      <c r="BL755" s="173"/>
      <c r="BM755" s="173"/>
    </row>
    <row r="756" spans="1:65">
      <c r="A756" s="173"/>
      <c r="B756" s="173"/>
      <c r="C756" s="173"/>
      <c r="D756" s="173"/>
      <c r="E756" s="173"/>
      <c r="F756" s="173"/>
      <c r="G756" s="173"/>
      <c r="H756" s="173"/>
      <c r="I756" s="173"/>
      <c r="J756" s="173"/>
      <c r="K756" s="322"/>
      <c r="L756" s="173"/>
      <c r="M756" s="173"/>
      <c r="Q756" s="173"/>
      <c r="R756" s="173"/>
      <c r="S756" s="173"/>
      <c r="T756" s="173"/>
      <c r="U756" s="173"/>
      <c r="V756" s="173"/>
      <c r="W756" s="173"/>
      <c r="X756" s="173"/>
      <c r="Y756" s="173"/>
      <c r="Z756" s="173"/>
      <c r="AA756" s="173"/>
      <c r="AB756" s="173"/>
      <c r="AC756" s="173"/>
      <c r="AD756" s="173"/>
      <c r="AE756" s="173"/>
      <c r="AF756" s="173"/>
      <c r="AG756" s="173"/>
      <c r="AH756" s="173"/>
      <c r="AI756" s="173"/>
      <c r="AJ756" s="173"/>
      <c r="AK756" s="173"/>
      <c r="AL756" s="173"/>
      <c r="AM756" s="173"/>
      <c r="AN756" s="173"/>
      <c r="AO756" s="173"/>
      <c r="AP756" s="173"/>
      <c r="AQ756" s="173"/>
      <c r="AR756" s="173"/>
      <c r="AS756" s="173"/>
      <c r="AT756" s="173"/>
      <c r="AU756" s="173"/>
      <c r="AV756" s="173"/>
      <c r="AW756" s="173"/>
      <c r="AX756" s="173"/>
      <c r="AY756" s="173"/>
      <c r="AZ756" s="173"/>
      <c r="BA756" s="173"/>
      <c r="BB756" s="173"/>
      <c r="BC756" s="173"/>
      <c r="BD756" s="173"/>
      <c r="BE756" s="173"/>
      <c r="BF756" s="173"/>
      <c r="BG756" s="173"/>
      <c r="BH756" s="173"/>
      <c r="BI756" s="173"/>
      <c r="BJ756" s="173"/>
      <c r="BK756" s="173"/>
      <c r="BL756" s="173"/>
      <c r="BM756" s="173"/>
    </row>
    <row r="757" spans="1:65">
      <c r="A757" s="173"/>
      <c r="B757" s="173"/>
      <c r="C757" s="173"/>
      <c r="D757" s="173"/>
      <c r="E757" s="173"/>
      <c r="F757" s="173"/>
      <c r="G757" s="173"/>
      <c r="H757" s="173"/>
      <c r="I757" s="173"/>
      <c r="J757" s="173"/>
      <c r="K757" s="322"/>
      <c r="L757" s="173"/>
      <c r="M757" s="173"/>
      <c r="Q757" s="173"/>
      <c r="R757" s="173"/>
      <c r="S757" s="173"/>
      <c r="T757" s="173"/>
      <c r="U757" s="173"/>
      <c r="V757" s="173"/>
      <c r="W757" s="173"/>
      <c r="X757" s="173"/>
      <c r="Y757" s="173"/>
      <c r="Z757" s="173"/>
      <c r="AA757" s="173"/>
      <c r="AB757" s="173"/>
      <c r="AC757" s="173"/>
      <c r="AD757" s="173"/>
      <c r="AE757" s="173"/>
      <c r="AF757" s="173"/>
      <c r="AG757" s="173"/>
      <c r="AH757" s="173"/>
      <c r="AI757" s="173"/>
      <c r="AJ757" s="173"/>
      <c r="AK757" s="173"/>
      <c r="AL757" s="173"/>
      <c r="AM757" s="173"/>
      <c r="AN757" s="173"/>
      <c r="AO757" s="173"/>
      <c r="AP757" s="173"/>
      <c r="AQ757" s="173"/>
      <c r="AR757" s="173"/>
      <c r="AS757" s="173"/>
      <c r="AT757" s="173"/>
      <c r="AU757" s="173"/>
      <c r="AV757" s="173"/>
      <c r="AW757" s="173"/>
      <c r="AX757" s="173"/>
      <c r="AY757" s="173"/>
      <c r="AZ757" s="173"/>
      <c r="BA757" s="173"/>
      <c r="BB757" s="173"/>
      <c r="BC757" s="173"/>
      <c r="BD757" s="173"/>
      <c r="BE757" s="173"/>
      <c r="BF757" s="173"/>
      <c r="BG757" s="173"/>
      <c r="BH757" s="173"/>
      <c r="BI757" s="173"/>
      <c r="BJ757" s="173"/>
      <c r="BK757" s="173"/>
      <c r="BL757" s="173"/>
      <c r="BM757" s="173"/>
    </row>
    <row r="758" spans="1:65">
      <c r="A758" s="173"/>
      <c r="B758" s="173"/>
      <c r="C758" s="173"/>
      <c r="D758" s="173"/>
      <c r="E758" s="173"/>
      <c r="F758" s="173"/>
      <c r="G758" s="173"/>
      <c r="H758" s="173"/>
      <c r="I758" s="173"/>
      <c r="J758" s="173"/>
      <c r="K758" s="322"/>
      <c r="L758" s="173"/>
      <c r="M758" s="173"/>
      <c r="Q758" s="173"/>
      <c r="R758" s="173"/>
      <c r="S758" s="173"/>
      <c r="T758" s="173"/>
      <c r="U758" s="173"/>
      <c r="V758" s="173"/>
      <c r="W758" s="173"/>
      <c r="X758" s="173"/>
      <c r="Y758" s="173"/>
      <c r="Z758" s="173"/>
      <c r="AA758" s="173"/>
      <c r="AB758" s="173"/>
      <c r="AC758" s="173"/>
      <c r="AD758" s="173"/>
      <c r="AE758" s="173"/>
      <c r="AF758" s="173"/>
      <c r="AG758" s="173"/>
      <c r="AH758" s="173"/>
      <c r="AI758" s="173"/>
      <c r="AJ758" s="173"/>
      <c r="AK758" s="173"/>
      <c r="AL758" s="173"/>
      <c r="AM758" s="173"/>
      <c r="AN758" s="173"/>
      <c r="AO758" s="173"/>
      <c r="AP758" s="173"/>
      <c r="AQ758" s="173"/>
      <c r="AR758" s="173"/>
      <c r="AS758" s="173"/>
      <c r="AT758" s="173"/>
      <c r="AU758" s="173"/>
      <c r="AV758" s="173"/>
      <c r="AW758" s="173"/>
      <c r="AX758" s="173"/>
      <c r="AY758" s="173"/>
      <c r="AZ758" s="173"/>
      <c r="BA758" s="173"/>
      <c r="BB758" s="173"/>
      <c r="BC758" s="173"/>
      <c r="BD758" s="173"/>
      <c r="BE758" s="173"/>
      <c r="BF758" s="173"/>
      <c r="BG758" s="173"/>
      <c r="BH758" s="173"/>
      <c r="BI758" s="173"/>
      <c r="BJ758" s="173"/>
      <c r="BK758" s="173"/>
      <c r="BL758" s="173"/>
      <c r="BM758" s="173"/>
    </row>
    <row r="759" spans="1:65">
      <c r="A759" s="173"/>
      <c r="B759" s="173"/>
      <c r="C759" s="173"/>
      <c r="D759" s="173"/>
      <c r="E759" s="173"/>
      <c r="F759" s="173"/>
      <c r="G759" s="173"/>
      <c r="H759" s="173"/>
      <c r="I759" s="173"/>
      <c r="J759" s="173"/>
      <c r="K759" s="322"/>
      <c r="L759" s="173"/>
      <c r="M759" s="173"/>
      <c r="Q759" s="173"/>
      <c r="R759" s="173"/>
      <c r="S759" s="173"/>
      <c r="T759" s="173"/>
      <c r="U759" s="173"/>
      <c r="V759" s="173"/>
      <c r="W759" s="173"/>
      <c r="X759" s="173"/>
      <c r="Y759" s="173"/>
      <c r="Z759" s="173"/>
      <c r="AA759" s="173"/>
      <c r="AB759" s="173"/>
      <c r="AC759" s="173"/>
      <c r="AD759" s="173"/>
      <c r="AE759" s="173"/>
      <c r="AF759" s="173"/>
      <c r="AG759" s="173"/>
      <c r="AH759" s="173"/>
      <c r="AI759" s="173"/>
      <c r="AJ759" s="173"/>
      <c r="AK759" s="173"/>
      <c r="AL759" s="173"/>
      <c r="AM759" s="173"/>
      <c r="AN759" s="173"/>
      <c r="AO759" s="173"/>
      <c r="AP759" s="173"/>
      <c r="AQ759" s="173"/>
      <c r="AR759" s="173"/>
      <c r="AS759" s="173"/>
      <c r="AT759" s="173"/>
      <c r="AU759" s="173"/>
      <c r="AV759" s="173"/>
      <c r="AW759" s="173"/>
      <c r="AX759" s="173"/>
      <c r="AY759" s="173"/>
      <c r="AZ759" s="173"/>
      <c r="BA759" s="173"/>
      <c r="BB759" s="173"/>
      <c r="BC759" s="173"/>
      <c r="BD759" s="173"/>
      <c r="BE759" s="173"/>
      <c r="BF759" s="173"/>
      <c r="BG759" s="173"/>
      <c r="BH759" s="173"/>
      <c r="BI759" s="173"/>
      <c r="BJ759" s="173"/>
      <c r="BK759" s="173"/>
      <c r="BL759" s="173"/>
      <c r="BM759" s="173"/>
    </row>
    <row r="760" spans="1:65">
      <c r="A760" s="173"/>
      <c r="B760" s="173"/>
      <c r="C760" s="173"/>
      <c r="D760" s="173"/>
      <c r="E760" s="173"/>
      <c r="F760" s="173"/>
      <c r="G760" s="173"/>
      <c r="H760" s="173"/>
      <c r="I760" s="173"/>
      <c r="J760" s="173"/>
      <c r="K760" s="322"/>
      <c r="L760" s="173"/>
      <c r="M760" s="173"/>
      <c r="Q760" s="173"/>
      <c r="R760" s="173"/>
      <c r="S760" s="173"/>
      <c r="T760" s="173"/>
      <c r="U760" s="173"/>
      <c r="V760" s="173"/>
      <c r="W760" s="173"/>
      <c r="X760" s="173"/>
      <c r="Y760" s="173"/>
      <c r="Z760" s="173"/>
      <c r="AA760" s="173"/>
      <c r="AB760" s="173"/>
      <c r="AC760" s="173"/>
      <c r="AD760" s="173"/>
      <c r="AE760" s="173"/>
      <c r="AF760" s="173"/>
      <c r="AG760" s="173"/>
      <c r="AH760" s="173"/>
      <c r="AI760" s="173"/>
      <c r="AJ760" s="173"/>
      <c r="AK760" s="173"/>
      <c r="AL760" s="173"/>
      <c r="AM760" s="173"/>
      <c r="AN760" s="173"/>
      <c r="AO760" s="173"/>
      <c r="AP760" s="173"/>
      <c r="AQ760" s="173"/>
      <c r="AR760" s="173"/>
      <c r="AS760" s="173"/>
      <c r="AT760" s="173"/>
      <c r="AU760" s="173"/>
      <c r="AV760" s="173"/>
      <c r="AW760" s="173"/>
      <c r="AX760" s="173"/>
      <c r="AY760" s="173"/>
      <c r="AZ760" s="173"/>
      <c r="BA760" s="173"/>
      <c r="BB760" s="173"/>
      <c r="BC760" s="173"/>
      <c r="BD760" s="173"/>
      <c r="BE760" s="173"/>
      <c r="BF760" s="173"/>
      <c r="BG760" s="173"/>
      <c r="BH760" s="173"/>
      <c r="BI760" s="173"/>
      <c r="BJ760" s="173"/>
      <c r="BK760" s="173"/>
      <c r="BL760" s="173"/>
      <c r="BM760" s="173"/>
    </row>
    <row r="761" spans="1:65">
      <c r="A761" s="173"/>
      <c r="B761" s="173"/>
      <c r="C761" s="173"/>
      <c r="D761" s="173"/>
      <c r="E761" s="173"/>
      <c r="F761" s="173"/>
      <c r="G761" s="173"/>
      <c r="H761" s="173"/>
      <c r="I761" s="173"/>
      <c r="J761" s="173"/>
      <c r="K761" s="322"/>
      <c r="L761" s="173"/>
      <c r="M761" s="173"/>
      <c r="Q761" s="173"/>
      <c r="R761" s="173"/>
      <c r="S761" s="173"/>
      <c r="T761" s="173"/>
      <c r="U761" s="173"/>
      <c r="V761" s="173"/>
      <c r="W761" s="173"/>
      <c r="X761" s="173"/>
      <c r="Y761" s="173"/>
      <c r="Z761" s="173"/>
      <c r="AA761" s="173"/>
      <c r="AB761" s="173"/>
      <c r="AC761" s="173"/>
      <c r="AD761" s="173"/>
      <c r="AE761" s="173"/>
      <c r="AF761" s="173"/>
      <c r="AG761" s="173"/>
      <c r="AH761" s="173"/>
      <c r="AI761" s="173"/>
      <c r="AJ761" s="173"/>
      <c r="AK761" s="173"/>
      <c r="AL761" s="173"/>
      <c r="AM761" s="173"/>
      <c r="AN761" s="173"/>
      <c r="AO761" s="173"/>
      <c r="AP761" s="173"/>
      <c r="AQ761" s="173"/>
      <c r="AR761" s="173"/>
      <c r="AS761" s="173"/>
      <c r="AT761" s="173"/>
      <c r="AU761" s="173"/>
      <c r="AV761" s="173"/>
      <c r="AW761" s="173"/>
      <c r="AX761" s="173"/>
      <c r="AY761" s="173"/>
      <c r="AZ761" s="173"/>
      <c r="BA761" s="173"/>
      <c r="BB761" s="173"/>
      <c r="BC761" s="173"/>
      <c r="BD761" s="173"/>
      <c r="BE761" s="173"/>
      <c r="BF761" s="173"/>
      <c r="BG761" s="173"/>
      <c r="BH761" s="173"/>
      <c r="BI761" s="173"/>
      <c r="BJ761" s="173"/>
      <c r="BK761" s="173"/>
      <c r="BL761" s="173"/>
      <c r="BM761" s="173"/>
    </row>
    <row r="762" spans="1:65">
      <c r="A762" s="173"/>
      <c r="B762" s="173"/>
      <c r="C762" s="173"/>
      <c r="D762" s="173"/>
      <c r="E762" s="173"/>
      <c r="F762" s="173"/>
      <c r="G762" s="173"/>
      <c r="H762" s="173"/>
      <c r="I762" s="173"/>
      <c r="J762" s="173"/>
      <c r="K762" s="322"/>
      <c r="L762" s="173"/>
      <c r="M762" s="173"/>
      <c r="Q762" s="173"/>
      <c r="R762" s="173"/>
      <c r="S762" s="173"/>
      <c r="T762" s="173"/>
      <c r="U762" s="173"/>
      <c r="V762" s="173"/>
      <c r="W762" s="173"/>
      <c r="X762" s="173"/>
      <c r="Y762" s="173"/>
      <c r="Z762" s="173"/>
      <c r="AA762" s="173"/>
      <c r="AB762" s="173"/>
      <c r="AC762" s="173"/>
      <c r="AD762" s="173"/>
      <c r="AE762" s="173"/>
      <c r="AF762" s="173"/>
      <c r="AG762" s="173"/>
      <c r="AH762" s="173"/>
      <c r="AI762" s="173"/>
      <c r="AJ762" s="173"/>
      <c r="AK762" s="173"/>
      <c r="AL762" s="173"/>
      <c r="AM762" s="173"/>
      <c r="AN762" s="173"/>
      <c r="AO762" s="173"/>
      <c r="AP762" s="173"/>
      <c r="AQ762" s="173"/>
      <c r="AR762" s="173"/>
      <c r="AS762" s="173"/>
      <c r="AT762" s="173"/>
      <c r="AU762" s="173"/>
      <c r="AV762" s="173"/>
      <c r="AW762" s="173"/>
      <c r="AX762" s="173"/>
      <c r="AY762" s="173"/>
      <c r="AZ762" s="173"/>
      <c r="BA762" s="173"/>
      <c r="BB762" s="173"/>
      <c r="BC762" s="173"/>
      <c r="BD762" s="173"/>
      <c r="BE762" s="173"/>
      <c r="BF762" s="173"/>
      <c r="BG762" s="173"/>
      <c r="BH762" s="173"/>
      <c r="BI762" s="173"/>
      <c r="BJ762" s="173"/>
      <c r="BK762" s="173"/>
      <c r="BL762" s="173"/>
      <c r="BM762" s="173"/>
    </row>
    <row r="763" spans="1:65">
      <c r="A763" s="173"/>
      <c r="B763" s="173"/>
      <c r="C763" s="173"/>
      <c r="D763" s="173"/>
      <c r="E763" s="173"/>
      <c r="F763" s="173"/>
      <c r="G763" s="173"/>
      <c r="H763" s="173"/>
      <c r="I763" s="173"/>
      <c r="J763" s="173"/>
      <c r="K763" s="322"/>
      <c r="L763" s="173"/>
      <c r="M763" s="173"/>
      <c r="Q763" s="173"/>
      <c r="R763" s="173"/>
      <c r="S763" s="173"/>
      <c r="T763" s="173"/>
      <c r="U763" s="173"/>
      <c r="V763" s="173"/>
      <c r="W763" s="173"/>
      <c r="X763" s="173"/>
      <c r="Y763" s="173"/>
      <c r="Z763" s="173"/>
      <c r="AA763" s="173"/>
      <c r="AB763" s="173"/>
      <c r="AC763" s="173"/>
      <c r="AD763" s="173"/>
      <c r="AE763" s="173"/>
      <c r="AF763" s="173"/>
      <c r="AG763" s="173"/>
      <c r="AH763" s="173"/>
      <c r="AI763" s="173"/>
      <c r="AJ763" s="173"/>
      <c r="AK763" s="173"/>
      <c r="AL763" s="173"/>
      <c r="AM763" s="173"/>
      <c r="AN763" s="173"/>
      <c r="AO763" s="173"/>
      <c r="AP763" s="173"/>
      <c r="AQ763" s="173"/>
      <c r="AR763" s="173"/>
      <c r="AS763" s="173"/>
      <c r="AT763" s="173"/>
      <c r="AU763" s="173"/>
      <c r="AV763" s="173"/>
      <c r="AW763" s="173"/>
      <c r="AX763" s="173"/>
      <c r="AY763" s="173"/>
      <c r="AZ763" s="173"/>
      <c r="BA763" s="173"/>
      <c r="BB763" s="173"/>
      <c r="BC763" s="173"/>
      <c r="BD763" s="173"/>
      <c r="BE763" s="173"/>
      <c r="BF763" s="173"/>
      <c r="BG763" s="173"/>
      <c r="BH763" s="173"/>
      <c r="BI763" s="173"/>
      <c r="BJ763" s="173"/>
      <c r="BK763" s="173"/>
      <c r="BL763" s="173"/>
      <c r="BM763" s="173"/>
    </row>
    <row r="764" spans="1:65">
      <c r="A764" s="173"/>
      <c r="B764" s="173"/>
      <c r="C764" s="173"/>
      <c r="D764" s="173"/>
      <c r="E764" s="173"/>
      <c r="F764" s="173"/>
      <c r="G764" s="173"/>
      <c r="H764" s="173"/>
      <c r="I764" s="173"/>
      <c r="J764" s="173"/>
      <c r="K764" s="322"/>
      <c r="L764" s="173"/>
      <c r="M764" s="173"/>
      <c r="Q764" s="173"/>
      <c r="R764" s="173"/>
      <c r="S764" s="173"/>
      <c r="T764" s="173"/>
      <c r="U764" s="173"/>
      <c r="V764" s="173"/>
      <c r="W764" s="173"/>
      <c r="X764" s="173"/>
      <c r="Y764" s="173"/>
      <c r="Z764" s="173"/>
      <c r="AA764" s="173"/>
      <c r="AB764" s="173"/>
      <c r="AC764" s="173"/>
      <c r="AD764" s="173"/>
      <c r="AE764" s="173"/>
      <c r="AF764" s="173"/>
      <c r="AG764" s="173"/>
      <c r="AH764" s="173"/>
      <c r="AI764" s="173"/>
      <c r="AJ764" s="173"/>
      <c r="AK764" s="173"/>
      <c r="AL764" s="173"/>
      <c r="AM764" s="173"/>
      <c r="AN764" s="173"/>
      <c r="AO764" s="173"/>
      <c r="AP764" s="173"/>
      <c r="AQ764" s="173"/>
      <c r="AR764" s="173"/>
      <c r="AS764" s="173"/>
      <c r="AT764" s="173"/>
      <c r="AU764" s="173"/>
      <c r="AV764" s="173"/>
      <c r="AW764" s="173"/>
      <c r="AX764" s="173"/>
      <c r="AY764" s="173"/>
      <c r="AZ764" s="173"/>
      <c r="BA764" s="173"/>
      <c r="BB764" s="173"/>
      <c r="BC764" s="173"/>
      <c r="BD764" s="173"/>
      <c r="BE764" s="173"/>
      <c r="BF764" s="173"/>
      <c r="BG764" s="173"/>
      <c r="BH764" s="173"/>
      <c r="BI764" s="173"/>
      <c r="BJ764" s="173"/>
      <c r="BK764" s="173"/>
      <c r="BL764" s="173"/>
      <c r="BM764" s="173"/>
    </row>
    <row r="765" spans="1:65">
      <c r="A765" s="173"/>
      <c r="B765" s="173"/>
      <c r="C765" s="173"/>
      <c r="D765" s="173"/>
      <c r="E765" s="173"/>
      <c r="F765" s="173"/>
      <c r="G765" s="173"/>
      <c r="H765" s="173"/>
      <c r="I765" s="173"/>
      <c r="J765" s="173"/>
      <c r="K765" s="322"/>
      <c r="L765" s="173"/>
      <c r="M765" s="173"/>
      <c r="Q765" s="173"/>
      <c r="R765" s="173"/>
      <c r="S765" s="173"/>
      <c r="T765" s="173"/>
      <c r="U765" s="173"/>
      <c r="V765" s="173"/>
      <c r="W765" s="173"/>
      <c r="X765" s="173"/>
      <c r="Y765" s="173"/>
      <c r="Z765" s="173"/>
      <c r="AA765" s="173"/>
      <c r="AB765" s="173"/>
      <c r="AC765" s="173"/>
      <c r="AD765" s="173"/>
      <c r="AE765" s="173"/>
      <c r="AF765" s="173"/>
      <c r="AG765" s="173"/>
      <c r="AH765" s="173"/>
      <c r="AI765" s="173"/>
      <c r="AJ765" s="173"/>
      <c r="AK765" s="173"/>
      <c r="AL765" s="173"/>
      <c r="AM765" s="173"/>
      <c r="AN765" s="173"/>
      <c r="AO765" s="173"/>
      <c r="AP765" s="173"/>
      <c r="AQ765" s="173"/>
      <c r="AR765" s="173"/>
      <c r="AS765" s="173"/>
      <c r="AT765" s="173"/>
      <c r="AU765" s="173"/>
      <c r="AV765" s="173"/>
      <c r="AW765" s="173"/>
      <c r="AX765" s="173"/>
      <c r="AY765" s="173"/>
      <c r="AZ765" s="173"/>
      <c r="BA765" s="173"/>
      <c r="BB765" s="173"/>
      <c r="BC765" s="173"/>
      <c r="BD765" s="173"/>
      <c r="BE765" s="173"/>
      <c r="BF765" s="173"/>
      <c r="BG765" s="173"/>
      <c r="BH765" s="173"/>
      <c r="BI765" s="173"/>
      <c r="BJ765" s="173"/>
      <c r="BK765" s="173"/>
      <c r="BL765" s="173"/>
      <c r="BM765" s="173"/>
    </row>
    <row r="766" spans="1:65">
      <c r="A766" s="173"/>
      <c r="B766" s="173"/>
      <c r="C766" s="173"/>
      <c r="D766" s="173"/>
      <c r="E766" s="173"/>
      <c r="F766" s="173"/>
      <c r="G766" s="173"/>
      <c r="H766" s="173"/>
      <c r="I766" s="173"/>
      <c r="J766" s="173"/>
      <c r="K766" s="322"/>
      <c r="L766" s="173"/>
      <c r="M766" s="173"/>
      <c r="Q766" s="173"/>
      <c r="R766" s="173"/>
      <c r="S766" s="173"/>
      <c r="T766" s="173"/>
      <c r="U766" s="173"/>
      <c r="V766" s="173"/>
      <c r="W766" s="173"/>
      <c r="X766" s="173"/>
      <c r="Y766" s="173"/>
      <c r="Z766" s="173"/>
      <c r="AA766" s="173"/>
      <c r="AB766" s="173"/>
      <c r="AC766" s="173"/>
      <c r="AD766" s="173"/>
      <c r="AE766" s="173"/>
      <c r="AF766" s="173"/>
      <c r="AG766" s="173"/>
      <c r="AH766" s="173"/>
      <c r="AI766" s="173"/>
      <c r="AJ766" s="173"/>
      <c r="AK766" s="173"/>
      <c r="AL766" s="173"/>
      <c r="AM766" s="173"/>
      <c r="AN766" s="173"/>
      <c r="AO766" s="173"/>
      <c r="AP766" s="173"/>
      <c r="AQ766" s="173"/>
      <c r="AR766" s="173"/>
      <c r="AS766" s="173"/>
      <c r="AT766" s="173"/>
      <c r="AU766" s="173"/>
      <c r="AV766" s="173"/>
      <c r="AW766" s="173"/>
      <c r="AX766" s="173"/>
      <c r="AY766" s="173"/>
      <c r="AZ766" s="173"/>
      <c r="BA766" s="173"/>
      <c r="BB766" s="173"/>
      <c r="BC766" s="173"/>
      <c r="BD766" s="173"/>
      <c r="BE766" s="173"/>
      <c r="BF766" s="173"/>
      <c r="BG766" s="173"/>
      <c r="BH766" s="173"/>
      <c r="BI766" s="173"/>
      <c r="BJ766" s="173"/>
      <c r="BK766" s="173"/>
      <c r="BL766" s="173"/>
      <c r="BM766" s="173"/>
    </row>
    <row r="767" spans="1:65">
      <c r="A767" s="173"/>
      <c r="B767" s="173"/>
      <c r="C767" s="173"/>
      <c r="D767" s="173"/>
      <c r="E767" s="173"/>
      <c r="F767" s="173"/>
      <c r="G767" s="173"/>
      <c r="H767" s="173"/>
      <c r="I767" s="173"/>
      <c r="J767" s="173"/>
      <c r="K767" s="322"/>
      <c r="L767" s="173"/>
      <c r="M767" s="173"/>
      <c r="Q767" s="173"/>
      <c r="R767" s="173"/>
      <c r="S767" s="173"/>
      <c r="T767" s="173"/>
      <c r="U767" s="173"/>
      <c r="V767" s="173"/>
      <c r="W767" s="173"/>
      <c r="X767" s="173"/>
      <c r="Y767" s="173"/>
      <c r="Z767" s="173"/>
      <c r="AA767" s="173"/>
      <c r="AB767" s="173"/>
      <c r="AC767" s="173"/>
      <c r="AD767" s="173"/>
      <c r="AE767" s="173"/>
      <c r="AF767" s="173"/>
      <c r="AG767" s="173"/>
      <c r="AH767" s="173"/>
      <c r="AI767" s="173"/>
      <c r="AJ767" s="173"/>
      <c r="AK767" s="173"/>
      <c r="AL767" s="173"/>
      <c r="AM767" s="173"/>
      <c r="AN767" s="173"/>
      <c r="AO767" s="173"/>
      <c r="AP767" s="173"/>
      <c r="AQ767" s="173"/>
      <c r="AR767" s="173"/>
      <c r="AS767" s="173"/>
      <c r="AT767" s="173"/>
      <c r="AU767" s="173"/>
      <c r="AV767" s="173"/>
      <c r="AW767" s="173"/>
      <c r="AX767" s="173"/>
      <c r="AY767" s="173"/>
      <c r="AZ767" s="173"/>
      <c r="BA767" s="173"/>
      <c r="BB767" s="173"/>
      <c r="BC767" s="173"/>
      <c r="BD767" s="173"/>
      <c r="BE767" s="173"/>
      <c r="BF767" s="173"/>
      <c r="BG767" s="173"/>
      <c r="BH767" s="173"/>
      <c r="BI767" s="173"/>
      <c r="BJ767" s="173"/>
      <c r="BK767" s="173"/>
      <c r="BL767" s="173"/>
      <c r="BM767" s="173"/>
    </row>
    <row r="768" spans="1:65">
      <c r="A768" s="173"/>
      <c r="B768" s="173"/>
      <c r="C768" s="173"/>
      <c r="D768" s="173"/>
      <c r="E768" s="173"/>
      <c r="F768" s="173"/>
      <c r="G768" s="173"/>
      <c r="H768" s="173"/>
      <c r="I768" s="173"/>
      <c r="J768" s="173"/>
      <c r="K768" s="322"/>
      <c r="L768" s="173"/>
      <c r="M768" s="173"/>
      <c r="Q768" s="173"/>
      <c r="R768" s="173"/>
      <c r="S768" s="173"/>
      <c r="T768" s="173"/>
      <c r="U768" s="173"/>
      <c r="V768" s="173"/>
      <c r="W768" s="173"/>
      <c r="X768" s="173"/>
      <c r="Y768" s="173"/>
      <c r="Z768" s="173"/>
      <c r="AA768" s="173"/>
      <c r="AB768" s="173"/>
      <c r="AC768" s="173"/>
      <c r="AD768" s="173"/>
      <c r="AE768" s="173"/>
      <c r="AF768" s="173"/>
      <c r="AG768" s="173"/>
      <c r="AH768" s="173"/>
      <c r="AI768" s="173"/>
      <c r="AJ768" s="173"/>
      <c r="AK768" s="173"/>
      <c r="AL768" s="173"/>
      <c r="AM768" s="173"/>
      <c r="AN768" s="173"/>
      <c r="AO768" s="173"/>
      <c r="AP768" s="173"/>
      <c r="AQ768" s="173"/>
      <c r="AR768" s="173"/>
      <c r="AS768" s="173"/>
      <c r="AT768" s="173"/>
      <c r="AU768" s="173"/>
      <c r="AV768" s="173"/>
      <c r="AW768" s="173"/>
      <c r="AX768" s="173"/>
      <c r="AY768" s="173"/>
      <c r="AZ768" s="173"/>
      <c r="BA768" s="173"/>
      <c r="BB768" s="173"/>
      <c r="BC768" s="173"/>
      <c r="BD768" s="173"/>
      <c r="BE768" s="173"/>
      <c r="BF768" s="173"/>
      <c r="BG768" s="173"/>
      <c r="BH768" s="173"/>
      <c r="BI768" s="173"/>
      <c r="BJ768" s="173"/>
      <c r="BK768" s="173"/>
      <c r="BL768" s="173"/>
      <c r="BM768" s="173"/>
    </row>
    <row r="769" spans="1:65">
      <c r="A769" s="173"/>
      <c r="B769" s="173"/>
      <c r="C769" s="173"/>
      <c r="D769" s="173"/>
      <c r="E769" s="173"/>
      <c r="F769" s="173"/>
      <c r="G769" s="173"/>
      <c r="H769" s="173"/>
      <c r="I769" s="173"/>
      <c r="J769" s="173"/>
      <c r="K769" s="322"/>
      <c r="L769" s="173"/>
      <c r="M769" s="173"/>
      <c r="Q769" s="173"/>
      <c r="R769" s="173"/>
      <c r="S769" s="173"/>
      <c r="T769" s="173"/>
      <c r="U769" s="173"/>
      <c r="V769" s="173"/>
      <c r="W769" s="173"/>
      <c r="X769" s="173"/>
      <c r="Y769" s="173"/>
      <c r="Z769" s="173"/>
      <c r="AA769" s="173"/>
      <c r="AB769" s="173"/>
      <c r="AC769" s="173"/>
      <c r="AD769" s="173"/>
      <c r="AE769" s="173"/>
      <c r="AF769" s="173"/>
      <c r="AG769" s="173"/>
      <c r="AH769" s="173"/>
      <c r="AI769" s="173"/>
      <c r="AJ769" s="173"/>
      <c r="AK769" s="173"/>
      <c r="AL769" s="173"/>
      <c r="AM769" s="173"/>
      <c r="AN769" s="173"/>
      <c r="AO769" s="173"/>
      <c r="AP769" s="173"/>
      <c r="AQ769" s="173"/>
      <c r="AR769" s="173"/>
      <c r="AS769" s="173"/>
      <c r="AT769" s="173"/>
      <c r="AU769" s="173"/>
      <c r="AV769" s="173"/>
      <c r="AW769" s="173"/>
      <c r="AX769" s="173"/>
      <c r="AY769" s="173"/>
      <c r="AZ769" s="173"/>
      <c r="BA769" s="173"/>
      <c r="BB769" s="173"/>
      <c r="BC769" s="173"/>
      <c r="BD769" s="173"/>
      <c r="BE769" s="173"/>
      <c r="BF769" s="173"/>
      <c r="BG769" s="173"/>
      <c r="BH769" s="173"/>
      <c r="BI769" s="173"/>
      <c r="BJ769" s="173"/>
      <c r="BK769" s="173"/>
      <c r="BL769" s="173"/>
      <c r="BM769" s="173"/>
    </row>
    <row r="770" spans="1:65">
      <c r="A770" s="173"/>
      <c r="B770" s="173"/>
      <c r="C770" s="173"/>
      <c r="D770" s="173"/>
      <c r="E770" s="173"/>
      <c r="F770" s="173"/>
      <c r="G770" s="173"/>
      <c r="H770" s="173"/>
      <c r="I770" s="173"/>
      <c r="J770" s="173"/>
      <c r="K770" s="322"/>
      <c r="L770" s="173"/>
      <c r="M770" s="173"/>
      <c r="Q770" s="173"/>
      <c r="R770" s="173"/>
      <c r="S770" s="173"/>
      <c r="T770" s="173"/>
      <c r="U770" s="173"/>
      <c r="V770" s="173"/>
      <c r="W770" s="173"/>
      <c r="X770" s="173"/>
      <c r="Y770" s="173"/>
      <c r="Z770" s="173"/>
      <c r="AA770" s="173"/>
      <c r="AB770" s="173"/>
      <c r="AC770" s="173"/>
      <c r="AD770" s="173"/>
      <c r="AE770" s="173"/>
      <c r="AF770" s="173"/>
      <c r="AG770" s="173"/>
      <c r="AH770" s="173"/>
      <c r="AI770" s="173"/>
      <c r="AJ770" s="173"/>
      <c r="AK770" s="173"/>
      <c r="AL770" s="173"/>
      <c r="AM770" s="173"/>
      <c r="AN770" s="173"/>
      <c r="AO770" s="173"/>
      <c r="AP770" s="173"/>
      <c r="AQ770" s="173"/>
      <c r="AR770" s="173"/>
      <c r="AS770" s="173"/>
      <c r="AT770" s="173"/>
      <c r="AU770" s="173"/>
      <c r="AV770" s="173"/>
      <c r="AW770" s="173"/>
      <c r="AX770" s="173"/>
      <c r="AY770" s="173"/>
      <c r="AZ770" s="173"/>
      <c r="BA770" s="173"/>
      <c r="BB770" s="173"/>
      <c r="BC770" s="173"/>
      <c r="BD770" s="173"/>
      <c r="BE770" s="173"/>
      <c r="BF770" s="173"/>
      <c r="BG770" s="173"/>
      <c r="BH770" s="173"/>
      <c r="BI770" s="173"/>
      <c r="BJ770" s="173"/>
      <c r="BK770" s="173"/>
      <c r="BL770" s="173"/>
      <c r="BM770" s="173"/>
    </row>
    <row r="771" spans="1:65">
      <c r="A771" s="173"/>
      <c r="B771" s="173"/>
      <c r="C771" s="173"/>
      <c r="D771" s="173"/>
      <c r="E771" s="173"/>
      <c r="F771" s="173"/>
      <c r="G771" s="173"/>
      <c r="H771" s="173"/>
      <c r="I771" s="173"/>
      <c r="J771" s="173"/>
      <c r="K771" s="322"/>
      <c r="L771" s="173"/>
      <c r="M771" s="173"/>
      <c r="Q771" s="173"/>
      <c r="R771" s="173"/>
      <c r="S771" s="173"/>
      <c r="T771" s="173"/>
      <c r="U771" s="173"/>
      <c r="V771" s="173"/>
      <c r="W771" s="173"/>
      <c r="X771" s="173"/>
      <c r="Y771" s="173"/>
      <c r="Z771" s="173"/>
      <c r="AA771" s="173"/>
      <c r="AB771" s="173"/>
      <c r="AC771" s="173"/>
      <c r="AD771" s="173"/>
      <c r="AE771" s="173"/>
      <c r="AF771" s="173"/>
      <c r="AG771" s="173"/>
      <c r="AH771" s="173"/>
      <c r="AI771" s="173"/>
      <c r="AJ771" s="173"/>
      <c r="AK771" s="173"/>
      <c r="AL771" s="173"/>
      <c r="AM771" s="173"/>
      <c r="AN771" s="173"/>
      <c r="AO771" s="173"/>
      <c r="AP771" s="173"/>
      <c r="AQ771" s="173"/>
      <c r="AR771" s="173"/>
      <c r="AS771" s="173"/>
      <c r="AT771" s="173"/>
      <c r="AU771" s="173"/>
      <c r="AV771" s="173"/>
      <c r="AW771" s="173"/>
      <c r="AX771" s="173"/>
      <c r="AY771" s="173"/>
      <c r="AZ771" s="173"/>
      <c r="BA771" s="173"/>
      <c r="BB771" s="173"/>
      <c r="BC771" s="173"/>
      <c r="BD771" s="173"/>
      <c r="BE771" s="173"/>
      <c r="BF771" s="173"/>
      <c r="BG771" s="173"/>
      <c r="BH771" s="173"/>
      <c r="BI771" s="173"/>
      <c r="BJ771" s="173"/>
      <c r="BK771" s="173"/>
      <c r="BL771" s="173"/>
      <c r="BM771" s="173"/>
    </row>
    <row r="772" spans="1:65">
      <c r="A772" s="173"/>
      <c r="B772" s="173"/>
      <c r="C772" s="173"/>
      <c r="D772" s="173"/>
      <c r="E772" s="173"/>
      <c r="F772" s="173"/>
      <c r="G772" s="173"/>
      <c r="H772" s="173"/>
      <c r="I772" s="173"/>
      <c r="J772" s="173"/>
      <c r="K772" s="322"/>
      <c r="L772" s="173"/>
      <c r="M772" s="173"/>
      <c r="Q772" s="173"/>
      <c r="R772" s="173"/>
      <c r="S772" s="173"/>
      <c r="T772" s="173"/>
      <c r="U772" s="173"/>
      <c r="V772" s="173"/>
      <c r="W772" s="173"/>
      <c r="X772" s="173"/>
      <c r="Y772" s="173"/>
      <c r="Z772" s="173"/>
      <c r="AA772" s="173"/>
      <c r="AB772" s="173"/>
      <c r="AC772" s="173"/>
      <c r="AD772" s="173"/>
      <c r="AE772" s="173"/>
      <c r="AF772" s="173"/>
      <c r="AG772" s="173"/>
      <c r="AH772" s="173"/>
      <c r="AI772" s="173"/>
      <c r="AJ772" s="173"/>
      <c r="AK772" s="173"/>
      <c r="AL772" s="173"/>
      <c r="AM772" s="173"/>
      <c r="AN772" s="173"/>
      <c r="AO772" s="173"/>
      <c r="AP772" s="173"/>
      <c r="AQ772" s="173"/>
      <c r="AR772" s="173"/>
      <c r="AS772" s="173"/>
      <c r="AT772" s="173"/>
      <c r="AU772" s="173"/>
      <c r="AV772" s="173"/>
      <c r="AW772" s="173"/>
      <c r="AX772" s="173"/>
      <c r="AY772" s="173"/>
      <c r="AZ772" s="173"/>
      <c r="BA772" s="173"/>
      <c r="BB772" s="173"/>
      <c r="BC772" s="173"/>
      <c r="BD772" s="173"/>
      <c r="BE772" s="173"/>
      <c r="BF772" s="173"/>
      <c r="BG772" s="173"/>
      <c r="BH772" s="173"/>
      <c r="BI772" s="173"/>
      <c r="BJ772" s="173"/>
      <c r="BK772" s="173"/>
      <c r="BL772" s="173"/>
      <c r="BM772" s="173"/>
    </row>
    <row r="773" spans="1:65">
      <c r="A773" s="173"/>
      <c r="B773" s="173"/>
      <c r="C773" s="173"/>
      <c r="D773" s="173"/>
      <c r="E773" s="173"/>
      <c r="F773" s="173"/>
      <c r="G773" s="173"/>
      <c r="H773" s="173"/>
      <c r="I773" s="173"/>
      <c r="J773" s="173"/>
      <c r="K773" s="322"/>
      <c r="L773" s="173"/>
      <c r="M773" s="173"/>
      <c r="Q773" s="173"/>
      <c r="R773" s="173"/>
      <c r="S773" s="173"/>
      <c r="T773" s="173"/>
      <c r="U773" s="173"/>
      <c r="V773" s="173"/>
      <c r="W773" s="173"/>
      <c r="X773" s="173"/>
      <c r="Y773" s="173"/>
      <c r="Z773" s="173"/>
      <c r="AA773" s="173"/>
      <c r="AB773" s="173"/>
      <c r="AC773" s="173"/>
      <c r="AD773" s="173"/>
      <c r="AE773" s="173"/>
      <c r="AF773" s="173"/>
      <c r="AG773" s="173"/>
      <c r="AH773" s="173"/>
      <c r="AI773" s="173"/>
      <c r="AJ773" s="173"/>
      <c r="AK773" s="173"/>
      <c r="AL773" s="173"/>
      <c r="AM773" s="173"/>
      <c r="AN773" s="173"/>
      <c r="AO773" s="173"/>
      <c r="AP773" s="173"/>
      <c r="AQ773" s="173"/>
      <c r="AR773" s="173"/>
      <c r="AS773" s="173"/>
      <c r="AT773" s="173"/>
      <c r="AU773" s="173"/>
      <c r="AV773" s="173"/>
      <c r="AW773" s="173"/>
      <c r="AX773" s="173"/>
      <c r="AY773" s="173"/>
      <c r="AZ773" s="173"/>
      <c r="BA773" s="173"/>
      <c r="BB773" s="173"/>
      <c r="BC773" s="173"/>
      <c r="BD773" s="173"/>
      <c r="BE773" s="173"/>
      <c r="BF773" s="173"/>
      <c r="BG773" s="173"/>
      <c r="BH773" s="173"/>
      <c r="BI773" s="173"/>
      <c r="BJ773" s="173"/>
      <c r="BK773" s="173"/>
      <c r="BL773" s="173"/>
      <c r="BM773" s="173"/>
    </row>
    <row r="774" spans="1:65">
      <c r="A774" s="173"/>
      <c r="B774" s="173"/>
      <c r="C774" s="173"/>
      <c r="D774" s="173"/>
      <c r="E774" s="173"/>
      <c r="F774" s="173"/>
      <c r="G774" s="173"/>
      <c r="H774" s="173"/>
      <c r="I774" s="173"/>
      <c r="J774" s="173"/>
      <c r="K774" s="322"/>
      <c r="L774" s="173"/>
      <c r="M774" s="173"/>
      <c r="Q774" s="173"/>
      <c r="R774" s="173"/>
      <c r="S774" s="173"/>
      <c r="T774" s="173"/>
      <c r="U774" s="173"/>
      <c r="V774" s="173"/>
      <c r="W774" s="173"/>
      <c r="X774" s="173"/>
      <c r="Y774" s="173"/>
      <c r="Z774" s="173"/>
      <c r="AA774" s="173"/>
      <c r="AB774" s="173"/>
      <c r="AC774" s="173"/>
      <c r="AD774" s="173"/>
      <c r="AE774" s="173"/>
      <c r="AF774" s="173"/>
      <c r="AG774" s="173"/>
      <c r="AH774" s="173"/>
      <c r="AI774" s="173"/>
      <c r="AJ774" s="173"/>
      <c r="AK774" s="173"/>
      <c r="AL774" s="173"/>
      <c r="AM774" s="173"/>
      <c r="AN774" s="173"/>
      <c r="AO774" s="173"/>
      <c r="AP774" s="173"/>
      <c r="AQ774" s="173"/>
      <c r="AR774" s="173"/>
      <c r="AS774" s="173"/>
      <c r="AT774" s="173"/>
      <c r="AU774" s="173"/>
      <c r="AV774" s="173"/>
      <c r="AW774" s="173"/>
      <c r="AX774" s="173"/>
      <c r="AY774" s="173"/>
      <c r="AZ774" s="173"/>
      <c r="BA774" s="173"/>
      <c r="BB774" s="173"/>
      <c r="BC774" s="173"/>
      <c r="BD774" s="173"/>
      <c r="BE774" s="173"/>
      <c r="BF774" s="173"/>
      <c r="BG774" s="173"/>
      <c r="BH774" s="173"/>
      <c r="BI774" s="173"/>
      <c r="BJ774" s="173"/>
      <c r="BK774" s="173"/>
      <c r="BL774" s="173"/>
      <c r="BM774" s="173"/>
    </row>
    <row r="775" spans="1:65">
      <c r="A775" s="173"/>
      <c r="B775" s="173"/>
      <c r="C775" s="173"/>
      <c r="D775" s="173"/>
      <c r="E775" s="173"/>
      <c r="F775" s="173"/>
      <c r="G775" s="173"/>
      <c r="H775" s="173"/>
      <c r="I775" s="173"/>
      <c r="J775" s="173"/>
      <c r="K775" s="322"/>
      <c r="L775" s="173"/>
      <c r="M775" s="173"/>
      <c r="Q775" s="173"/>
      <c r="R775" s="173"/>
      <c r="S775" s="173"/>
      <c r="T775" s="173"/>
      <c r="U775" s="173"/>
      <c r="V775" s="173"/>
      <c r="W775" s="173"/>
      <c r="X775" s="173"/>
      <c r="Y775" s="173"/>
      <c r="Z775" s="173"/>
      <c r="AA775" s="173"/>
      <c r="AB775" s="173"/>
      <c r="AC775" s="173"/>
      <c r="AD775" s="173"/>
      <c r="AE775" s="173"/>
      <c r="AF775" s="173"/>
      <c r="AG775" s="173"/>
      <c r="AH775" s="173"/>
      <c r="AI775" s="173"/>
      <c r="AJ775" s="173"/>
      <c r="AK775" s="173"/>
      <c r="AL775" s="173"/>
      <c r="AM775" s="173"/>
      <c r="AN775" s="173"/>
      <c r="AO775" s="173"/>
      <c r="AP775" s="173"/>
      <c r="AQ775" s="173"/>
      <c r="AR775" s="173"/>
      <c r="AS775" s="173"/>
      <c r="AT775" s="173"/>
      <c r="AU775" s="173"/>
      <c r="AV775" s="173"/>
      <c r="AW775" s="173"/>
      <c r="AX775" s="173"/>
      <c r="AY775" s="173"/>
      <c r="AZ775" s="173"/>
      <c r="BA775" s="173"/>
      <c r="BB775" s="173"/>
      <c r="BC775" s="173"/>
      <c r="BD775" s="173"/>
      <c r="BE775" s="173"/>
      <c r="BF775" s="173"/>
      <c r="BG775" s="173"/>
      <c r="BH775" s="173"/>
      <c r="BI775" s="173"/>
      <c r="BJ775" s="173"/>
      <c r="BK775" s="173"/>
      <c r="BL775" s="173"/>
      <c r="BM775" s="173"/>
    </row>
    <row r="776" spans="1:65">
      <c r="A776" s="173"/>
      <c r="B776" s="173"/>
      <c r="C776" s="173"/>
      <c r="D776" s="173"/>
      <c r="E776" s="173"/>
      <c r="F776" s="173"/>
      <c r="G776" s="173"/>
      <c r="H776" s="173"/>
      <c r="I776" s="173"/>
      <c r="J776" s="173"/>
      <c r="K776" s="322"/>
      <c r="L776" s="173"/>
      <c r="M776" s="173"/>
      <c r="Q776" s="173"/>
      <c r="R776" s="173"/>
      <c r="S776" s="173"/>
      <c r="T776" s="173"/>
      <c r="U776" s="173"/>
      <c r="V776" s="173"/>
      <c r="W776" s="173"/>
      <c r="X776" s="173"/>
      <c r="Y776" s="173"/>
      <c r="Z776" s="173"/>
      <c r="AA776" s="173"/>
      <c r="AB776" s="173"/>
      <c r="AC776" s="173"/>
      <c r="AD776" s="173"/>
      <c r="AE776" s="173"/>
      <c r="AF776" s="173"/>
      <c r="AG776" s="173"/>
      <c r="AH776" s="173"/>
      <c r="AI776" s="173"/>
      <c r="AJ776" s="173"/>
      <c r="AK776" s="173"/>
      <c r="AL776" s="173"/>
      <c r="AM776" s="173"/>
      <c r="AN776" s="173"/>
      <c r="AO776" s="173"/>
      <c r="AP776" s="173"/>
      <c r="AQ776" s="173"/>
      <c r="AR776" s="173"/>
      <c r="AS776" s="173"/>
      <c r="AT776" s="173"/>
      <c r="AU776" s="173"/>
      <c r="AV776" s="173"/>
      <c r="AW776" s="173"/>
      <c r="AX776" s="173"/>
      <c r="AY776" s="173"/>
      <c r="AZ776" s="173"/>
      <c r="BA776" s="173"/>
      <c r="BB776" s="173"/>
      <c r="BC776" s="173"/>
      <c r="BD776" s="173"/>
      <c r="BE776" s="173"/>
      <c r="BF776" s="173"/>
      <c r="BG776" s="173"/>
      <c r="BH776" s="173"/>
      <c r="BI776" s="173"/>
      <c r="BJ776" s="173"/>
      <c r="BK776" s="173"/>
      <c r="BL776" s="173"/>
      <c r="BM776" s="173"/>
    </row>
    <row r="777" spans="1:65">
      <c r="A777" s="173"/>
      <c r="B777" s="173"/>
      <c r="C777" s="173"/>
      <c r="D777" s="173"/>
      <c r="E777" s="173"/>
      <c r="F777" s="173"/>
      <c r="G777" s="173"/>
      <c r="H777" s="173"/>
      <c r="I777" s="173"/>
      <c r="J777" s="173"/>
      <c r="K777" s="322"/>
      <c r="L777" s="173"/>
      <c r="M777" s="173"/>
      <c r="Q777" s="173"/>
      <c r="R777" s="173"/>
      <c r="S777" s="173"/>
      <c r="T777" s="173"/>
      <c r="U777" s="173"/>
      <c r="V777" s="173"/>
      <c r="W777" s="173"/>
      <c r="X777" s="173"/>
      <c r="Y777" s="173"/>
      <c r="Z777" s="173"/>
      <c r="AA777" s="173"/>
      <c r="AB777" s="173"/>
      <c r="AC777" s="173"/>
      <c r="AD777" s="173"/>
      <c r="AE777" s="173"/>
      <c r="AF777" s="173"/>
      <c r="AG777" s="173"/>
      <c r="AH777" s="173"/>
      <c r="AI777" s="173"/>
      <c r="AJ777" s="173"/>
      <c r="AK777" s="173"/>
      <c r="AL777" s="173"/>
      <c r="AM777" s="173"/>
      <c r="AN777" s="173"/>
      <c r="AO777" s="173"/>
      <c r="AP777" s="173"/>
      <c r="AQ777" s="173"/>
      <c r="AR777" s="173"/>
      <c r="AS777" s="173"/>
      <c r="AT777" s="173"/>
      <c r="AU777" s="173"/>
      <c r="AV777" s="173"/>
      <c r="AW777" s="173"/>
      <c r="AX777" s="173"/>
      <c r="AY777" s="173"/>
      <c r="AZ777" s="173"/>
      <c r="BA777" s="173"/>
      <c r="BB777" s="173"/>
      <c r="BC777" s="173"/>
      <c r="BD777" s="173"/>
      <c r="BE777" s="173"/>
      <c r="BF777" s="173"/>
      <c r="BG777" s="173"/>
      <c r="BH777" s="173"/>
      <c r="BI777" s="173"/>
      <c r="BJ777" s="173"/>
      <c r="BK777" s="173"/>
      <c r="BL777" s="173"/>
      <c r="BM777" s="173"/>
    </row>
    <row r="778" spans="1:65">
      <c r="A778" s="173"/>
      <c r="B778" s="173"/>
      <c r="C778" s="173"/>
      <c r="D778" s="173"/>
      <c r="E778" s="173"/>
      <c r="F778" s="173"/>
      <c r="G778" s="173"/>
      <c r="H778" s="173"/>
      <c r="I778" s="173"/>
      <c r="J778" s="173"/>
      <c r="K778" s="322"/>
      <c r="L778" s="173"/>
      <c r="M778" s="173"/>
      <c r="Q778" s="173"/>
      <c r="R778" s="173"/>
      <c r="S778" s="173"/>
      <c r="T778" s="173"/>
      <c r="U778" s="173"/>
      <c r="V778" s="173"/>
      <c r="W778" s="173"/>
      <c r="X778" s="173"/>
      <c r="Y778" s="173"/>
      <c r="Z778" s="173"/>
      <c r="AA778" s="173"/>
      <c r="AB778" s="173"/>
      <c r="AC778" s="173"/>
      <c r="AD778" s="173"/>
      <c r="AE778" s="173"/>
      <c r="AF778" s="173"/>
      <c r="AG778" s="173"/>
      <c r="AH778" s="173"/>
      <c r="AI778" s="173"/>
      <c r="AJ778" s="173"/>
      <c r="AK778" s="173"/>
      <c r="AL778" s="173"/>
      <c r="AM778" s="173"/>
      <c r="AN778" s="173"/>
      <c r="AO778" s="173"/>
      <c r="AP778" s="173"/>
      <c r="AQ778" s="173"/>
      <c r="AR778" s="173"/>
      <c r="AS778" s="173"/>
      <c r="AT778" s="173"/>
      <c r="AU778" s="173"/>
      <c r="AV778" s="173"/>
      <c r="AW778" s="173"/>
      <c r="AX778" s="173"/>
      <c r="AY778" s="173"/>
      <c r="AZ778" s="173"/>
      <c r="BA778" s="173"/>
      <c r="BB778" s="173"/>
      <c r="BC778" s="173"/>
      <c r="BD778" s="173"/>
      <c r="BE778" s="173"/>
      <c r="BF778" s="173"/>
      <c r="BG778" s="173"/>
      <c r="BH778" s="173"/>
      <c r="BI778" s="173"/>
      <c r="BJ778" s="173"/>
      <c r="BK778" s="173"/>
      <c r="BL778" s="173"/>
      <c r="BM778" s="173"/>
    </row>
    <row r="779" spans="1:65">
      <c r="A779" s="173"/>
      <c r="B779" s="173"/>
      <c r="C779" s="173"/>
      <c r="D779" s="173"/>
      <c r="E779" s="173"/>
      <c r="F779" s="173"/>
      <c r="G779" s="173"/>
      <c r="H779" s="173"/>
      <c r="I779" s="173"/>
      <c r="J779" s="173"/>
      <c r="K779" s="322"/>
      <c r="L779" s="173"/>
      <c r="M779" s="173"/>
      <c r="Q779" s="173"/>
      <c r="R779" s="173"/>
      <c r="S779" s="173"/>
      <c r="T779" s="173"/>
      <c r="U779" s="173"/>
      <c r="V779" s="173"/>
      <c r="W779" s="173"/>
      <c r="X779" s="173"/>
      <c r="Y779" s="173"/>
      <c r="Z779" s="173"/>
      <c r="AA779" s="173"/>
      <c r="AB779" s="173"/>
      <c r="AC779" s="173"/>
      <c r="AD779" s="173"/>
      <c r="AE779" s="173"/>
      <c r="AF779" s="173"/>
      <c r="AG779" s="173"/>
      <c r="AH779" s="173"/>
      <c r="AI779" s="173"/>
      <c r="AJ779" s="173"/>
      <c r="AK779" s="173"/>
      <c r="AL779" s="173"/>
      <c r="AM779" s="173"/>
      <c r="AN779" s="173"/>
      <c r="AO779" s="173"/>
      <c r="AP779" s="173"/>
      <c r="AQ779" s="173"/>
      <c r="AR779" s="173"/>
      <c r="AS779" s="173"/>
      <c r="AT779" s="173"/>
      <c r="AU779" s="173"/>
      <c r="AV779" s="173"/>
      <c r="AW779" s="173"/>
      <c r="AX779" s="173"/>
      <c r="AY779" s="173"/>
      <c r="AZ779" s="173"/>
      <c r="BA779" s="173"/>
      <c r="BB779" s="173"/>
      <c r="BC779" s="173"/>
      <c r="BD779" s="173"/>
      <c r="BE779" s="173"/>
      <c r="BF779" s="173"/>
      <c r="BG779" s="173"/>
      <c r="BH779" s="173"/>
      <c r="BI779" s="173"/>
      <c r="BJ779" s="173"/>
      <c r="BK779" s="173"/>
      <c r="BL779" s="173"/>
      <c r="BM779" s="173"/>
    </row>
    <row r="780" spans="1:65">
      <c r="A780" s="173"/>
      <c r="B780" s="173"/>
      <c r="C780" s="173"/>
      <c r="D780" s="173"/>
      <c r="E780" s="173"/>
      <c r="F780" s="173"/>
      <c r="G780" s="173"/>
      <c r="H780" s="173"/>
      <c r="I780" s="173"/>
      <c r="J780" s="173"/>
      <c r="K780" s="322"/>
      <c r="L780" s="173"/>
      <c r="M780" s="173"/>
      <c r="Q780" s="173"/>
      <c r="R780" s="173"/>
      <c r="S780" s="173"/>
      <c r="T780" s="173"/>
      <c r="U780" s="173"/>
      <c r="V780" s="173"/>
      <c r="W780" s="173"/>
      <c r="X780" s="173"/>
      <c r="Y780" s="173"/>
      <c r="Z780" s="173"/>
      <c r="AA780" s="173"/>
      <c r="AB780" s="173"/>
      <c r="AC780" s="173"/>
      <c r="AD780" s="173"/>
      <c r="AE780" s="173"/>
      <c r="AF780" s="173"/>
      <c r="AG780" s="173"/>
      <c r="AH780" s="173"/>
      <c r="AI780" s="173"/>
      <c r="AJ780" s="173"/>
      <c r="AK780" s="173"/>
      <c r="AL780" s="173"/>
      <c r="AM780" s="173"/>
      <c r="AN780" s="173"/>
      <c r="AO780" s="173"/>
      <c r="AP780" s="173"/>
      <c r="AQ780" s="173"/>
      <c r="AR780" s="173"/>
      <c r="AS780" s="173"/>
      <c r="AT780" s="173"/>
      <c r="AU780" s="173"/>
      <c r="AV780" s="173"/>
      <c r="AW780" s="173"/>
      <c r="AX780" s="173"/>
      <c r="AY780" s="173"/>
      <c r="AZ780" s="173"/>
      <c r="BA780" s="173"/>
      <c r="BB780" s="173"/>
      <c r="BC780" s="173"/>
      <c r="BD780" s="173"/>
      <c r="BE780" s="173"/>
      <c r="BF780" s="173"/>
      <c r="BG780" s="173"/>
      <c r="BH780" s="173"/>
      <c r="BI780" s="173"/>
      <c r="BJ780" s="173"/>
      <c r="BK780" s="173"/>
      <c r="BL780" s="173"/>
      <c r="BM780" s="173"/>
    </row>
    <row r="781" spans="1:65">
      <c r="A781" s="173"/>
      <c r="B781" s="173"/>
      <c r="C781" s="173"/>
      <c r="D781" s="173"/>
      <c r="E781" s="173"/>
      <c r="F781" s="173"/>
      <c r="G781" s="173"/>
      <c r="H781" s="173"/>
      <c r="I781" s="173"/>
      <c r="J781" s="173"/>
      <c r="K781" s="322"/>
      <c r="L781" s="173"/>
      <c r="M781" s="173"/>
      <c r="Q781" s="173"/>
      <c r="R781" s="173"/>
      <c r="S781" s="173"/>
      <c r="T781" s="173"/>
      <c r="U781" s="173"/>
      <c r="V781" s="173"/>
      <c r="W781" s="173"/>
      <c r="X781" s="173"/>
      <c r="Y781" s="173"/>
      <c r="Z781" s="173"/>
      <c r="AA781" s="173"/>
      <c r="AB781" s="173"/>
      <c r="AC781" s="173"/>
      <c r="AD781" s="173"/>
      <c r="AE781" s="173"/>
      <c r="AF781" s="173"/>
      <c r="AG781" s="173"/>
      <c r="AH781" s="173"/>
      <c r="AI781" s="173"/>
      <c r="AJ781" s="173"/>
      <c r="AK781" s="173"/>
      <c r="AL781" s="173"/>
      <c r="AM781" s="173"/>
      <c r="AN781" s="173"/>
      <c r="AO781" s="173"/>
      <c r="AP781" s="173"/>
      <c r="AQ781" s="173"/>
      <c r="AR781" s="173"/>
      <c r="AS781" s="173"/>
      <c r="AT781" s="173"/>
      <c r="AU781" s="173"/>
      <c r="AV781" s="173"/>
      <c r="AW781" s="173"/>
      <c r="AX781" s="173"/>
      <c r="AY781" s="173"/>
      <c r="AZ781" s="173"/>
      <c r="BA781" s="173"/>
      <c r="BB781" s="173"/>
      <c r="BC781" s="173"/>
      <c r="BD781" s="173"/>
      <c r="BE781" s="173"/>
      <c r="BF781" s="173"/>
      <c r="BG781" s="173"/>
      <c r="BH781" s="173"/>
      <c r="BI781" s="173"/>
      <c r="BJ781" s="173"/>
      <c r="BK781" s="173"/>
      <c r="BL781" s="173"/>
      <c r="BM781" s="173"/>
    </row>
    <row r="782" spans="1:65">
      <c r="A782" s="173"/>
      <c r="B782" s="173"/>
      <c r="C782" s="173"/>
      <c r="D782" s="173"/>
      <c r="E782" s="173"/>
      <c r="F782" s="173"/>
      <c r="G782" s="173"/>
      <c r="H782" s="173"/>
      <c r="I782" s="173"/>
      <c r="J782" s="173"/>
      <c r="K782" s="322"/>
      <c r="L782" s="173"/>
      <c r="M782" s="173"/>
      <c r="Q782" s="173"/>
      <c r="R782" s="173"/>
      <c r="S782" s="173"/>
      <c r="T782" s="173"/>
      <c r="U782" s="173"/>
      <c r="V782" s="173"/>
      <c r="W782" s="173"/>
      <c r="X782" s="173"/>
      <c r="Y782" s="173"/>
      <c r="Z782" s="173"/>
      <c r="AA782" s="173"/>
      <c r="AB782" s="173"/>
      <c r="AC782" s="173"/>
      <c r="AD782" s="173"/>
      <c r="AE782" s="173"/>
      <c r="AF782" s="173"/>
      <c r="AG782" s="173"/>
      <c r="AH782" s="173"/>
      <c r="AI782" s="173"/>
      <c r="AJ782" s="173"/>
      <c r="AK782" s="173"/>
      <c r="AL782" s="173"/>
      <c r="AM782" s="173"/>
      <c r="AN782" s="173"/>
      <c r="AO782" s="173"/>
      <c r="AP782" s="173"/>
      <c r="AQ782" s="173"/>
      <c r="AR782" s="173"/>
      <c r="AS782" s="173"/>
      <c r="AT782" s="173"/>
      <c r="AU782" s="173"/>
      <c r="AV782" s="173"/>
      <c r="AW782" s="173"/>
      <c r="AX782" s="173"/>
      <c r="AY782" s="173"/>
      <c r="AZ782" s="173"/>
      <c r="BA782" s="173"/>
      <c r="BB782" s="173"/>
      <c r="BC782" s="173"/>
      <c r="BD782" s="173"/>
      <c r="BE782" s="173"/>
      <c r="BF782" s="173"/>
      <c r="BG782" s="173"/>
      <c r="BH782" s="173"/>
      <c r="BI782" s="173"/>
      <c r="BJ782" s="173"/>
      <c r="BK782" s="173"/>
      <c r="BL782" s="173"/>
      <c r="BM782" s="173"/>
    </row>
    <row r="783" spans="1:65">
      <c r="A783" s="173"/>
      <c r="B783" s="173"/>
      <c r="C783" s="173"/>
      <c r="D783" s="173"/>
      <c r="E783" s="173"/>
      <c r="F783" s="173"/>
      <c r="G783" s="173"/>
      <c r="H783" s="173"/>
      <c r="I783" s="173"/>
      <c r="J783" s="173"/>
      <c r="K783" s="322"/>
      <c r="L783" s="173"/>
      <c r="M783" s="173"/>
      <c r="Q783" s="173"/>
      <c r="R783" s="173"/>
      <c r="S783" s="173"/>
      <c r="T783" s="173"/>
      <c r="U783" s="173"/>
      <c r="V783" s="173"/>
      <c r="W783" s="173"/>
      <c r="X783" s="173"/>
      <c r="Y783" s="173"/>
      <c r="Z783" s="173"/>
      <c r="AA783" s="173"/>
      <c r="AB783" s="173"/>
      <c r="AC783" s="173"/>
      <c r="AD783" s="173"/>
      <c r="AE783" s="173"/>
      <c r="AF783" s="173"/>
      <c r="AG783" s="173"/>
      <c r="AH783" s="173"/>
      <c r="AI783" s="173"/>
      <c r="AJ783" s="173"/>
      <c r="AK783" s="173"/>
      <c r="AL783" s="173"/>
      <c r="AM783" s="173"/>
      <c r="AN783" s="173"/>
      <c r="AO783" s="173"/>
      <c r="AP783" s="173"/>
      <c r="AQ783" s="173"/>
      <c r="AR783" s="173"/>
      <c r="AS783" s="173"/>
      <c r="AT783" s="173"/>
      <c r="AU783" s="173"/>
      <c r="AV783" s="173"/>
      <c r="AW783" s="173"/>
      <c r="AX783" s="173"/>
      <c r="AY783" s="173"/>
      <c r="AZ783" s="173"/>
      <c r="BA783" s="173"/>
      <c r="BB783" s="173"/>
      <c r="BC783" s="173"/>
      <c r="BD783" s="173"/>
      <c r="BE783" s="173"/>
      <c r="BF783" s="173"/>
      <c r="BG783" s="173"/>
      <c r="BH783" s="173"/>
      <c r="BI783" s="173"/>
      <c r="BJ783" s="173"/>
      <c r="BK783" s="173"/>
      <c r="BL783" s="173"/>
      <c r="BM783" s="173"/>
    </row>
    <row r="784" spans="1:65">
      <c r="A784" s="173"/>
      <c r="B784" s="173"/>
      <c r="C784" s="173"/>
      <c r="D784" s="173"/>
      <c r="E784" s="173"/>
      <c r="F784" s="173"/>
      <c r="G784" s="173"/>
      <c r="H784" s="173"/>
      <c r="I784" s="173"/>
      <c r="J784" s="173"/>
      <c r="K784" s="322"/>
      <c r="L784" s="173"/>
      <c r="M784" s="173"/>
      <c r="Q784" s="173"/>
      <c r="R784" s="173"/>
      <c r="S784" s="173"/>
      <c r="T784" s="173"/>
      <c r="U784" s="173"/>
      <c r="V784" s="173"/>
      <c r="W784" s="173"/>
      <c r="X784" s="173"/>
      <c r="Y784" s="173"/>
      <c r="Z784" s="173"/>
      <c r="AA784" s="173"/>
      <c r="AB784" s="173"/>
      <c r="AC784" s="173"/>
      <c r="AD784" s="173"/>
      <c r="AE784" s="173"/>
      <c r="AF784" s="173"/>
      <c r="AG784" s="173"/>
      <c r="AH784" s="173"/>
      <c r="AI784" s="173"/>
      <c r="AJ784" s="173"/>
      <c r="AK784" s="173"/>
      <c r="AL784" s="173"/>
      <c r="AM784" s="173"/>
      <c r="AN784" s="173"/>
      <c r="AO784" s="173"/>
      <c r="AP784" s="173"/>
      <c r="AQ784" s="173"/>
      <c r="AR784" s="173"/>
      <c r="AS784" s="173"/>
      <c r="AT784" s="173"/>
      <c r="AU784" s="173"/>
      <c r="AV784" s="173"/>
      <c r="AW784" s="173"/>
      <c r="AX784" s="173"/>
      <c r="AY784" s="173"/>
      <c r="AZ784" s="173"/>
      <c r="BA784" s="173"/>
      <c r="BB784" s="173"/>
      <c r="BC784" s="173"/>
      <c r="BD784" s="173"/>
      <c r="BE784" s="173"/>
      <c r="BF784" s="173"/>
      <c r="BG784" s="173"/>
      <c r="BH784" s="173"/>
      <c r="BI784" s="173"/>
      <c r="BJ784" s="173"/>
      <c r="BK784" s="173"/>
      <c r="BL784" s="173"/>
      <c r="BM784" s="173"/>
    </row>
    <row r="785" spans="1:65">
      <c r="A785" s="173"/>
      <c r="B785" s="173"/>
      <c r="C785" s="173"/>
      <c r="D785" s="173"/>
      <c r="E785" s="173"/>
      <c r="F785" s="173"/>
      <c r="G785" s="173"/>
      <c r="H785" s="173"/>
      <c r="I785" s="173"/>
      <c r="J785" s="173"/>
      <c r="K785" s="322"/>
      <c r="L785" s="173"/>
      <c r="M785" s="173"/>
      <c r="Q785" s="173"/>
      <c r="R785" s="173"/>
      <c r="S785" s="173"/>
      <c r="T785" s="173"/>
      <c r="U785" s="173"/>
      <c r="V785" s="173"/>
      <c r="W785" s="173"/>
      <c r="X785" s="173"/>
      <c r="Y785" s="173"/>
      <c r="Z785" s="173"/>
      <c r="AA785" s="173"/>
      <c r="AB785" s="173"/>
      <c r="AC785" s="173"/>
      <c r="AD785" s="173"/>
      <c r="AE785" s="173"/>
      <c r="AF785" s="173"/>
      <c r="AG785" s="173"/>
      <c r="AH785" s="173"/>
      <c r="AI785" s="173"/>
      <c r="AJ785" s="173"/>
      <c r="AK785" s="173"/>
      <c r="AL785" s="173"/>
      <c r="AM785" s="173"/>
      <c r="AN785" s="173"/>
      <c r="AO785" s="173"/>
      <c r="AP785" s="173"/>
      <c r="AQ785" s="173"/>
      <c r="AR785" s="173"/>
      <c r="AS785" s="173"/>
      <c r="AT785" s="173"/>
      <c r="AU785" s="173"/>
      <c r="AV785" s="173"/>
      <c r="AW785" s="173"/>
      <c r="AX785" s="173"/>
      <c r="AY785" s="173"/>
      <c r="AZ785" s="173"/>
      <c r="BA785" s="173"/>
      <c r="BB785" s="173"/>
      <c r="BC785" s="173"/>
      <c r="BD785" s="173"/>
      <c r="BE785" s="173"/>
      <c r="BF785" s="173"/>
      <c r="BG785" s="173"/>
      <c r="BH785" s="173"/>
      <c r="BI785" s="173"/>
      <c r="BJ785" s="173"/>
      <c r="BK785" s="173"/>
      <c r="BL785" s="173"/>
      <c r="BM785" s="173"/>
    </row>
    <row r="786" spans="1:65">
      <c r="A786" s="173"/>
      <c r="B786" s="173"/>
      <c r="C786" s="173"/>
      <c r="D786" s="173"/>
      <c r="E786" s="173"/>
      <c r="F786" s="173"/>
      <c r="G786" s="173"/>
      <c r="H786" s="173"/>
      <c r="I786" s="173"/>
      <c r="J786" s="173"/>
      <c r="K786" s="322"/>
      <c r="L786" s="173"/>
      <c r="M786" s="173"/>
      <c r="Q786" s="173"/>
      <c r="R786" s="173"/>
      <c r="S786" s="173"/>
      <c r="T786" s="173"/>
      <c r="U786" s="173"/>
      <c r="V786" s="173"/>
      <c r="W786" s="173"/>
      <c r="X786" s="173"/>
      <c r="Y786" s="173"/>
      <c r="Z786" s="173"/>
      <c r="AA786" s="173"/>
      <c r="AB786" s="173"/>
      <c r="AC786" s="173"/>
      <c r="AD786" s="173"/>
      <c r="AE786" s="173"/>
      <c r="AF786" s="173"/>
      <c r="AG786" s="173"/>
      <c r="AH786" s="173"/>
      <c r="AI786" s="173"/>
      <c r="AJ786" s="173"/>
      <c r="AK786" s="173"/>
      <c r="AL786" s="173"/>
      <c r="AM786" s="173"/>
      <c r="AN786" s="173"/>
      <c r="AO786" s="173"/>
      <c r="AP786" s="173"/>
      <c r="AQ786" s="173"/>
      <c r="AR786" s="173"/>
      <c r="AS786" s="173"/>
      <c r="AT786" s="173"/>
      <c r="AU786" s="173"/>
      <c r="AV786" s="173"/>
      <c r="AW786" s="173"/>
      <c r="AX786" s="173"/>
      <c r="AY786" s="173"/>
      <c r="AZ786" s="173"/>
      <c r="BA786" s="173"/>
      <c r="BB786" s="173"/>
      <c r="BC786" s="173"/>
      <c r="BD786" s="173"/>
      <c r="BE786" s="173"/>
      <c r="BF786" s="173"/>
      <c r="BG786" s="173"/>
      <c r="BH786" s="173"/>
      <c r="BI786" s="173"/>
      <c r="BJ786" s="173"/>
      <c r="BK786" s="173"/>
      <c r="BL786" s="173"/>
      <c r="BM786" s="173"/>
    </row>
    <row r="787" spans="1:65">
      <c r="A787" s="173"/>
      <c r="B787" s="173"/>
      <c r="C787" s="173"/>
      <c r="D787" s="173"/>
      <c r="E787" s="173"/>
      <c r="F787" s="173"/>
      <c r="G787" s="173"/>
      <c r="H787" s="173"/>
      <c r="I787" s="173"/>
      <c r="J787" s="173"/>
      <c r="K787" s="322"/>
      <c r="L787" s="173"/>
      <c r="M787" s="173"/>
      <c r="Q787" s="173"/>
      <c r="R787" s="173"/>
      <c r="S787" s="173"/>
      <c r="T787" s="173"/>
      <c r="U787" s="173"/>
      <c r="V787" s="173"/>
      <c r="W787" s="173"/>
      <c r="X787" s="173"/>
      <c r="Y787" s="173"/>
      <c r="Z787" s="173"/>
      <c r="AA787" s="173"/>
      <c r="AB787" s="173"/>
      <c r="AC787" s="173"/>
      <c r="AD787" s="173"/>
      <c r="AE787" s="173"/>
      <c r="AF787" s="173"/>
      <c r="AG787" s="173"/>
      <c r="AH787" s="173"/>
      <c r="AI787" s="173"/>
      <c r="AJ787" s="173"/>
      <c r="AK787" s="173"/>
      <c r="AL787" s="173"/>
      <c r="AM787" s="173"/>
      <c r="AN787" s="173"/>
      <c r="AO787" s="173"/>
      <c r="AP787" s="173"/>
      <c r="AQ787" s="173"/>
      <c r="AR787" s="173"/>
      <c r="AS787" s="173"/>
      <c r="AT787" s="173"/>
      <c r="AU787" s="173"/>
      <c r="AV787" s="173"/>
      <c r="AW787" s="173"/>
      <c r="AX787" s="173"/>
      <c r="AY787" s="173"/>
      <c r="AZ787" s="173"/>
      <c r="BA787" s="173"/>
      <c r="BB787" s="173"/>
      <c r="BC787" s="173"/>
      <c r="BD787" s="173"/>
      <c r="BE787" s="173"/>
      <c r="BF787" s="173"/>
      <c r="BG787" s="173"/>
      <c r="BH787" s="173"/>
      <c r="BI787" s="173"/>
      <c r="BJ787" s="173"/>
      <c r="BK787" s="173"/>
      <c r="BL787" s="173"/>
      <c r="BM787" s="173"/>
    </row>
    <row r="788" spans="1:65">
      <c r="A788" s="173"/>
      <c r="B788" s="173"/>
      <c r="C788" s="173"/>
      <c r="D788" s="173"/>
      <c r="E788" s="173"/>
      <c r="F788" s="173"/>
      <c r="G788" s="173"/>
      <c r="H788" s="173"/>
      <c r="I788" s="173"/>
      <c r="J788" s="173"/>
      <c r="K788" s="322"/>
      <c r="L788" s="173"/>
      <c r="M788" s="173"/>
      <c r="Q788" s="173"/>
      <c r="R788" s="173"/>
      <c r="S788" s="173"/>
      <c r="T788" s="173"/>
      <c r="U788" s="173"/>
      <c r="V788" s="173"/>
      <c r="W788" s="173"/>
      <c r="X788" s="173"/>
      <c r="Y788" s="173"/>
      <c r="Z788" s="173"/>
      <c r="AA788" s="173"/>
      <c r="AB788" s="173"/>
      <c r="AC788" s="173"/>
      <c r="AD788" s="173"/>
      <c r="AE788" s="173"/>
      <c r="AF788" s="173"/>
      <c r="AG788" s="173"/>
      <c r="AH788" s="173"/>
      <c r="AI788" s="173"/>
      <c r="AJ788" s="173"/>
      <c r="AK788" s="173"/>
      <c r="AL788" s="173"/>
      <c r="AM788" s="173"/>
      <c r="AN788" s="173"/>
      <c r="AO788" s="173"/>
      <c r="AP788" s="173"/>
      <c r="AQ788" s="173"/>
      <c r="AR788" s="173"/>
      <c r="AS788" s="173"/>
      <c r="AT788" s="173"/>
      <c r="AU788" s="173"/>
      <c r="AV788" s="173"/>
      <c r="AW788" s="173"/>
      <c r="AX788" s="173"/>
      <c r="AY788" s="173"/>
      <c r="AZ788" s="173"/>
      <c r="BA788" s="173"/>
      <c r="BB788" s="173"/>
      <c r="BC788" s="173"/>
      <c r="BD788" s="173"/>
      <c r="BE788" s="173"/>
      <c r="BF788" s="173"/>
      <c r="BG788" s="173"/>
      <c r="BH788" s="173"/>
      <c r="BI788" s="173"/>
      <c r="BJ788" s="173"/>
      <c r="BK788" s="173"/>
      <c r="BL788" s="173"/>
      <c r="BM788" s="173"/>
    </row>
    <row r="789" spans="1:65">
      <c r="A789" s="173"/>
      <c r="B789" s="173"/>
      <c r="C789" s="173"/>
      <c r="D789" s="173"/>
      <c r="E789" s="173"/>
      <c r="F789" s="173"/>
      <c r="G789" s="173"/>
      <c r="H789" s="173"/>
      <c r="I789" s="173"/>
      <c r="J789" s="173"/>
      <c r="K789" s="322"/>
      <c r="L789" s="173"/>
      <c r="M789" s="173"/>
      <c r="Q789" s="173"/>
      <c r="R789" s="173"/>
      <c r="S789" s="173"/>
      <c r="T789" s="173"/>
      <c r="U789" s="173"/>
      <c r="V789" s="173"/>
      <c r="W789" s="173"/>
      <c r="X789" s="173"/>
      <c r="Y789" s="173"/>
      <c r="Z789" s="173"/>
      <c r="AA789" s="173"/>
      <c r="AB789" s="173"/>
      <c r="AC789" s="173"/>
      <c r="AD789" s="173"/>
      <c r="AE789" s="173"/>
      <c r="AF789" s="173"/>
      <c r="AG789" s="173"/>
      <c r="AH789" s="173"/>
      <c r="AI789" s="173"/>
      <c r="AJ789" s="173"/>
      <c r="AK789" s="173"/>
      <c r="AL789" s="173"/>
      <c r="AM789" s="173"/>
      <c r="AN789" s="173"/>
      <c r="AO789" s="173"/>
      <c r="AP789" s="173"/>
      <c r="AQ789" s="173"/>
      <c r="AR789" s="173"/>
      <c r="AS789" s="173"/>
      <c r="AT789" s="173"/>
      <c r="AU789" s="173"/>
      <c r="AV789" s="173"/>
      <c r="AW789" s="173"/>
      <c r="AX789" s="173"/>
      <c r="AY789" s="173"/>
      <c r="AZ789" s="173"/>
      <c r="BA789" s="173"/>
      <c r="BB789" s="173"/>
      <c r="BC789" s="173"/>
      <c r="BD789" s="173"/>
      <c r="BE789" s="173"/>
      <c r="BF789" s="173"/>
      <c r="BG789" s="173"/>
      <c r="BH789" s="173"/>
      <c r="BI789" s="173"/>
      <c r="BJ789" s="173"/>
      <c r="BK789" s="173"/>
      <c r="BL789" s="173"/>
      <c r="BM789" s="173"/>
    </row>
    <row r="790" spans="1:65">
      <c r="A790" s="173"/>
      <c r="B790" s="173"/>
      <c r="C790" s="173"/>
      <c r="D790" s="173"/>
      <c r="E790" s="173"/>
      <c r="F790" s="173"/>
      <c r="G790" s="173"/>
      <c r="H790" s="173"/>
      <c r="I790" s="173"/>
      <c r="J790" s="173"/>
      <c r="K790" s="322"/>
      <c r="L790" s="173"/>
      <c r="M790" s="173"/>
      <c r="Q790" s="173"/>
      <c r="R790" s="173"/>
      <c r="S790" s="173"/>
      <c r="T790" s="173"/>
      <c r="U790" s="173"/>
      <c r="V790" s="173"/>
      <c r="W790" s="173"/>
      <c r="X790" s="173"/>
      <c r="Y790" s="173"/>
      <c r="Z790" s="173"/>
      <c r="AA790" s="173"/>
      <c r="AB790" s="173"/>
      <c r="AC790" s="173"/>
      <c r="AD790" s="173"/>
      <c r="AE790" s="173"/>
      <c r="AF790" s="173"/>
      <c r="AG790" s="173"/>
      <c r="AH790" s="173"/>
      <c r="AI790" s="173"/>
      <c r="AJ790" s="173"/>
      <c r="AK790" s="173"/>
      <c r="AL790" s="173"/>
      <c r="AM790" s="173"/>
      <c r="AN790" s="173"/>
      <c r="AO790" s="173"/>
      <c r="AP790" s="173"/>
      <c r="AQ790" s="173"/>
      <c r="AR790" s="173"/>
      <c r="AS790" s="173"/>
      <c r="AT790" s="173"/>
      <c r="AU790" s="173"/>
      <c r="AV790" s="173"/>
      <c r="AW790" s="173"/>
      <c r="AX790" s="173"/>
      <c r="AY790" s="173"/>
      <c r="AZ790" s="173"/>
      <c r="BA790" s="173"/>
      <c r="BB790" s="173"/>
      <c r="BC790" s="173"/>
      <c r="BD790" s="173"/>
      <c r="BE790" s="173"/>
      <c r="BF790" s="173"/>
      <c r="BG790" s="173"/>
      <c r="BH790" s="173"/>
      <c r="BI790" s="173"/>
      <c r="BJ790" s="173"/>
      <c r="BK790" s="173"/>
      <c r="BL790" s="173"/>
      <c r="BM790" s="173"/>
    </row>
    <row r="791" spans="1:65">
      <c r="A791" s="173"/>
      <c r="B791" s="173"/>
      <c r="C791" s="173"/>
      <c r="D791" s="173"/>
      <c r="E791" s="173"/>
      <c r="F791" s="173"/>
      <c r="G791" s="173"/>
      <c r="H791" s="173"/>
      <c r="I791" s="173"/>
      <c r="J791" s="173"/>
      <c r="K791" s="322"/>
      <c r="L791" s="173"/>
      <c r="M791" s="173"/>
      <c r="Q791" s="173"/>
      <c r="R791" s="173"/>
      <c r="S791" s="173"/>
      <c r="T791" s="173"/>
      <c r="U791" s="173"/>
      <c r="V791" s="173"/>
      <c r="W791" s="173"/>
      <c r="X791" s="173"/>
      <c r="Y791" s="173"/>
      <c r="Z791" s="173"/>
      <c r="AA791" s="173"/>
      <c r="AB791" s="173"/>
      <c r="AC791" s="173"/>
      <c r="AD791" s="173"/>
      <c r="AE791" s="173"/>
      <c r="AF791" s="173"/>
      <c r="AG791" s="173"/>
      <c r="AH791" s="173"/>
      <c r="AI791" s="173"/>
      <c r="AJ791" s="173"/>
      <c r="AK791" s="173"/>
      <c r="AL791" s="173"/>
      <c r="AM791" s="173"/>
      <c r="AN791" s="173"/>
      <c r="AO791" s="173"/>
      <c r="AP791" s="173"/>
      <c r="AQ791" s="173"/>
      <c r="AR791" s="173"/>
      <c r="AS791" s="173"/>
      <c r="AT791" s="173"/>
      <c r="AU791" s="173"/>
      <c r="AV791" s="173"/>
      <c r="AW791" s="173"/>
      <c r="AX791" s="173"/>
      <c r="AY791" s="173"/>
      <c r="AZ791" s="173"/>
      <c r="BA791" s="173"/>
      <c r="BB791" s="173"/>
      <c r="BC791" s="173"/>
      <c r="BD791" s="173"/>
      <c r="BE791" s="173"/>
      <c r="BF791" s="173"/>
      <c r="BG791" s="173"/>
      <c r="BH791" s="173"/>
      <c r="BI791" s="173"/>
      <c r="BJ791" s="173"/>
      <c r="BK791" s="173"/>
      <c r="BL791" s="173"/>
      <c r="BM791" s="173"/>
    </row>
    <row r="792" spans="1:65">
      <c r="A792" s="173"/>
      <c r="B792" s="173"/>
      <c r="C792" s="173"/>
      <c r="D792" s="173"/>
      <c r="E792" s="173"/>
      <c r="F792" s="173"/>
      <c r="G792" s="173"/>
      <c r="H792" s="173"/>
      <c r="I792" s="173"/>
      <c r="J792" s="173"/>
      <c r="K792" s="322"/>
      <c r="L792" s="173"/>
      <c r="M792" s="173"/>
      <c r="Q792" s="173"/>
      <c r="R792" s="173"/>
      <c r="S792" s="173"/>
      <c r="T792" s="173"/>
      <c r="U792" s="173"/>
      <c r="V792" s="173"/>
      <c r="W792" s="173"/>
      <c r="X792" s="173"/>
      <c r="Y792" s="173"/>
      <c r="Z792" s="173"/>
      <c r="AA792" s="173"/>
      <c r="AB792" s="173"/>
      <c r="AC792" s="173"/>
      <c r="AD792" s="173"/>
      <c r="AE792" s="173"/>
      <c r="AF792" s="173"/>
      <c r="AG792" s="173"/>
      <c r="AH792" s="173"/>
      <c r="AI792" s="173"/>
      <c r="AJ792" s="173"/>
      <c r="AK792" s="173"/>
      <c r="AL792" s="173"/>
      <c r="AM792" s="173"/>
      <c r="AN792" s="173"/>
      <c r="AO792" s="173"/>
      <c r="AP792" s="173"/>
      <c r="AQ792" s="173"/>
      <c r="AR792" s="173"/>
      <c r="AS792" s="173"/>
      <c r="AT792" s="173"/>
      <c r="AU792" s="173"/>
      <c r="AV792" s="173"/>
      <c r="AW792" s="173"/>
      <c r="AX792" s="173"/>
      <c r="AY792" s="173"/>
      <c r="AZ792" s="173"/>
      <c r="BA792" s="173"/>
      <c r="BB792" s="173"/>
      <c r="BC792" s="173"/>
      <c r="BD792" s="173"/>
      <c r="BE792" s="173"/>
      <c r="BF792" s="173"/>
      <c r="BG792" s="173"/>
      <c r="BH792" s="173"/>
      <c r="BI792" s="173"/>
      <c r="BJ792" s="173"/>
      <c r="BK792" s="173"/>
      <c r="BL792" s="173"/>
      <c r="BM792" s="173"/>
    </row>
    <row r="793" spans="1:65">
      <c r="A793" s="173"/>
      <c r="B793" s="173"/>
      <c r="C793" s="173"/>
      <c r="D793" s="173"/>
      <c r="E793" s="173"/>
      <c r="F793" s="173"/>
      <c r="G793" s="173"/>
      <c r="H793" s="173"/>
      <c r="I793" s="173"/>
      <c r="J793" s="173"/>
      <c r="K793" s="322"/>
      <c r="L793" s="173"/>
      <c r="M793" s="173"/>
      <c r="Q793" s="173"/>
      <c r="R793" s="173"/>
      <c r="S793" s="173"/>
      <c r="T793" s="173"/>
      <c r="U793" s="173"/>
      <c r="V793" s="173"/>
      <c r="W793" s="173"/>
      <c r="X793" s="173"/>
      <c r="Y793" s="173"/>
      <c r="Z793" s="173"/>
      <c r="AA793" s="173"/>
      <c r="AB793" s="173"/>
      <c r="AC793" s="173"/>
      <c r="AD793" s="173"/>
      <c r="AE793" s="173"/>
      <c r="AF793" s="173"/>
      <c r="AG793" s="173"/>
      <c r="AH793" s="173"/>
      <c r="AI793" s="173"/>
      <c r="AJ793" s="173"/>
      <c r="AK793" s="173"/>
      <c r="AL793" s="173"/>
      <c r="AM793" s="173"/>
      <c r="AN793" s="173"/>
      <c r="AO793" s="173"/>
      <c r="AP793" s="173"/>
      <c r="AQ793" s="173"/>
      <c r="AR793" s="173"/>
      <c r="AS793" s="173"/>
      <c r="AT793" s="173"/>
      <c r="AU793" s="173"/>
      <c r="AV793" s="173"/>
      <c r="AW793" s="173"/>
      <c r="AX793" s="173"/>
      <c r="AY793" s="173"/>
      <c r="AZ793" s="173"/>
      <c r="BA793" s="173"/>
      <c r="BB793" s="173"/>
      <c r="BC793" s="173"/>
      <c r="BD793" s="173"/>
      <c r="BE793" s="173"/>
      <c r="BF793" s="173"/>
      <c r="BG793" s="173"/>
      <c r="BH793" s="173"/>
      <c r="BI793" s="173"/>
      <c r="BJ793" s="173"/>
      <c r="BK793" s="173"/>
      <c r="BL793" s="173"/>
      <c r="BM793" s="173"/>
    </row>
    <row r="794" spans="1:65">
      <c r="A794" s="173"/>
      <c r="B794" s="173"/>
      <c r="C794" s="173"/>
      <c r="D794" s="173"/>
      <c r="E794" s="173"/>
      <c r="F794" s="173"/>
      <c r="G794" s="173"/>
      <c r="H794" s="173"/>
      <c r="I794" s="173"/>
      <c r="J794" s="173"/>
      <c r="K794" s="322"/>
      <c r="L794" s="173"/>
      <c r="M794" s="173"/>
      <c r="Q794" s="173"/>
      <c r="R794" s="173"/>
      <c r="S794" s="173"/>
      <c r="T794" s="173"/>
      <c r="U794" s="173"/>
      <c r="V794" s="173"/>
      <c r="W794" s="173"/>
      <c r="X794" s="173"/>
      <c r="Y794" s="173"/>
      <c r="Z794" s="173"/>
      <c r="AA794" s="173"/>
      <c r="AB794" s="173"/>
      <c r="AC794" s="173"/>
      <c r="AD794" s="173"/>
      <c r="AE794" s="173"/>
      <c r="AF794" s="173"/>
      <c r="AG794" s="173"/>
      <c r="AH794" s="173"/>
      <c r="AI794" s="173"/>
      <c r="AJ794" s="173"/>
      <c r="AK794" s="173"/>
      <c r="AL794" s="173"/>
      <c r="AM794" s="173"/>
      <c r="AN794" s="173"/>
      <c r="AO794" s="173"/>
      <c r="AP794" s="173"/>
      <c r="AQ794" s="173"/>
      <c r="AR794" s="173"/>
      <c r="AS794" s="173"/>
      <c r="AT794" s="173"/>
      <c r="AU794" s="173"/>
      <c r="AV794" s="173"/>
      <c r="AW794" s="173"/>
      <c r="AX794" s="173"/>
      <c r="AY794" s="173"/>
      <c r="AZ794" s="173"/>
      <c r="BA794" s="173"/>
      <c r="BB794" s="173"/>
      <c r="BC794" s="173"/>
      <c r="BD794" s="173"/>
      <c r="BE794" s="173"/>
      <c r="BF794" s="173"/>
      <c r="BG794" s="173"/>
      <c r="BH794" s="173"/>
      <c r="BI794" s="173"/>
      <c r="BJ794" s="173"/>
      <c r="BK794" s="173"/>
      <c r="BL794" s="173"/>
      <c r="BM794" s="173"/>
    </row>
    <row r="795" spans="1:65">
      <c r="A795" s="173"/>
      <c r="B795" s="173"/>
      <c r="C795" s="173"/>
      <c r="D795" s="173"/>
      <c r="E795" s="173"/>
      <c r="F795" s="173"/>
      <c r="G795" s="173"/>
      <c r="H795" s="173"/>
      <c r="I795" s="173"/>
      <c r="J795" s="173"/>
      <c r="K795" s="322"/>
      <c r="L795" s="173"/>
      <c r="M795" s="173"/>
      <c r="Q795" s="173"/>
      <c r="R795" s="173"/>
      <c r="S795" s="173"/>
      <c r="T795" s="173"/>
      <c r="U795" s="173"/>
      <c r="V795" s="173"/>
      <c r="W795" s="173"/>
      <c r="X795" s="173"/>
      <c r="Y795" s="173"/>
      <c r="Z795" s="173"/>
      <c r="AA795" s="173"/>
      <c r="AB795" s="173"/>
      <c r="AC795" s="173"/>
      <c r="AD795" s="173"/>
      <c r="AE795" s="173"/>
      <c r="AF795" s="173"/>
      <c r="AG795" s="173"/>
      <c r="AH795" s="173"/>
      <c r="AI795" s="173"/>
      <c r="AJ795" s="173"/>
      <c r="AK795" s="173"/>
      <c r="AL795" s="173"/>
      <c r="AM795" s="173"/>
      <c r="AN795" s="173"/>
      <c r="AO795" s="173"/>
      <c r="AP795" s="173"/>
      <c r="AQ795" s="173"/>
      <c r="AR795" s="173"/>
      <c r="AS795" s="173"/>
      <c r="AT795" s="173"/>
      <c r="AU795" s="173"/>
      <c r="AV795" s="173"/>
      <c r="AW795" s="173"/>
      <c r="AX795" s="173"/>
      <c r="AY795" s="173"/>
      <c r="AZ795" s="173"/>
      <c r="BA795" s="173"/>
      <c r="BB795" s="173"/>
      <c r="BC795" s="173"/>
      <c r="BD795" s="173"/>
      <c r="BE795" s="173"/>
      <c r="BF795" s="173"/>
      <c r="BG795" s="173"/>
      <c r="BH795" s="173"/>
      <c r="BI795" s="173"/>
      <c r="BJ795" s="173"/>
      <c r="BK795" s="173"/>
      <c r="BL795" s="173"/>
      <c r="BM795" s="173"/>
    </row>
    <row r="796" spans="1:65">
      <c r="A796" s="173"/>
      <c r="B796" s="173"/>
      <c r="C796" s="173"/>
      <c r="D796" s="173"/>
      <c r="E796" s="173"/>
      <c r="F796" s="173"/>
      <c r="G796" s="173"/>
      <c r="H796" s="173"/>
      <c r="I796" s="173"/>
      <c r="J796" s="173"/>
      <c r="K796" s="322"/>
      <c r="L796" s="173"/>
      <c r="M796" s="173"/>
      <c r="Q796" s="173"/>
      <c r="R796" s="173"/>
      <c r="S796" s="173"/>
      <c r="T796" s="173"/>
      <c r="U796" s="173"/>
      <c r="V796" s="173"/>
      <c r="W796" s="173"/>
      <c r="X796" s="173"/>
      <c r="Y796" s="173"/>
      <c r="Z796" s="173"/>
      <c r="AA796" s="173"/>
      <c r="AB796" s="173"/>
      <c r="AC796" s="173"/>
      <c r="AD796" s="173"/>
      <c r="AE796" s="173"/>
      <c r="AF796" s="173"/>
      <c r="AG796" s="173"/>
      <c r="AH796" s="173"/>
      <c r="AI796" s="173"/>
      <c r="AJ796" s="173"/>
      <c r="AK796" s="173"/>
      <c r="AL796" s="173"/>
      <c r="AM796" s="173"/>
      <c r="AN796" s="173"/>
      <c r="AO796" s="173"/>
      <c r="AP796" s="173"/>
      <c r="AQ796" s="173"/>
      <c r="AR796" s="173"/>
      <c r="AS796" s="173"/>
      <c r="AT796" s="173"/>
      <c r="AU796" s="173"/>
      <c r="AV796" s="173"/>
      <c r="AW796" s="173"/>
      <c r="AX796" s="173"/>
      <c r="AY796" s="173"/>
      <c r="AZ796" s="173"/>
      <c r="BA796" s="173"/>
      <c r="BB796" s="173"/>
      <c r="BC796" s="173"/>
      <c r="BD796" s="173"/>
      <c r="BE796" s="173"/>
      <c r="BF796" s="173"/>
      <c r="BG796" s="173"/>
      <c r="BH796" s="173"/>
      <c r="BI796" s="173"/>
      <c r="BJ796" s="173"/>
      <c r="BK796" s="173"/>
      <c r="BL796" s="173"/>
      <c r="BM796" s="173"/>
    </row>
    <row r="797" spans="1:65">
      <c r="A797" s="173"/>
      <c r="B797" s="173"/>
      <c r="C797" s="173"/>
      <c r="D797" s="173"/>
      <c r="E797" s="173"/>
      <c r="F797" s="173"/>
      <c r="G797" s="173"/>
      <c r="H797" s="173"/>
      <c r="I797" s="173"/>
      <c r="J797" s="173"/>
      <c r="K797" s="322"/>
      <c r="L797" s="173"/>
      <c r="M797" s="173"/>
      <c r="Q797" s="173"/>
      <c r="R797" s="173"/>
      <c r="S797" s="173"/>
      <c r="T797" s="173"/>
      <c r="U797" s="173"/>
      <c r="V797" s="173"/>
      <c r="W797" s="173"/>
      <c r="X797" s="173"/>
      <c r="Y797" s="173"/>
      <c r="Z797" s="173"/>
      <c r="AA797" s="173"/>
      <c r="AB797" s="173"/>
      <c r="AC797" s="173"/>
      <c r="AD797" s="173"/>
      <c r="AE797" s="173"/>
      <c r="AF797" s="173"/>
      <c r="AG797" s="173"/>
      <c r="AH797" s="173"/>
      <c r="AI797" s="173"/>
      <c r="AJ797" s="173"/>
      <c r="AK797" s="173"/>
      <c r="AL797" s="173"/>
      <c r="AM797" s="173"/>
      <c r="AN797" s="173"/>
      <c r="AO797" s="173"/>
      <c r="AP797" s="173"/>
      <c r="AQ797" s="173"/>
      <c r="AR797" s="173"/>
      <c r="AS797" s="173"/>
      <c r="AT797" s="173"/>
      <c r="AU797" s="173"/>
      <c r="AV797" s="173"/>
      <c r="AW797" s="173"/>
      <c r="AX797" s="173"/>
      <c r="AY797" s="173"/>
      <c r="AZ797" s="173"/>
      <c r="BA797" s="173"/>
      <c r="BB797" s="173"/>
      <c r="BC797" s="173"/>
      <c r="BD797" s="173"/>
      <c r="BE797" s="173"/>
      <c r="BF797" s="173"/>
      <c r="BG797" s="173"/>
      <c r="BH797" s="173"/>
      <c r="BI797" s="173"/>
      <c r="BJ797" s="173"/>
      <c r="BK797" s="173"/>
      <c r="BL797" s="173"/>
      <c r="BM797" s="173"/>
    </row>
    <row r="798" spans="1:65">
      <c r="A798" s="173"/>
      <c r="B798" s="173"/>
      <c r="C798" s="173"/>
      <c r="D798" s="173"/>
      <c r="E798" s="173"/>
      <c r="F798" s="173"/>
      <c r="G798" s="173"/>
      <c r="H798" s="173"/>
      <c r="I798" s="173"/>
      <c r="J798" s="173"/>
      <c r="K798" s="322"/>
      <c r="L798" s="173"/>
      <c r="M798" s="173"/>
      <c r="Q798" s="173"/>
      <c r="R798" s="173"/>
      <c r="S798" s="173"/>
      <c r="T798" s="173"/>
      <c r="U798" s="173"/>
      <c r="V798" s="173"/>
      <c r="W798" s="173"/>
      <c r="X798" s="173"/>
      <c r="Y798" s="173"/>
      <c r="Z798" s="173"/>
      <c r="AA798" s="173"/>
      <c r="AB798" s="173"/>
      <c r="AC798" s="173"/>
      <c r="AD798" s="173"/>
      <c r="AE798" s="173"/>
      <c r="AF798" s="173"/>
      <c r="AG798" s="173"/>
      <c r="AH798" s="173"/>
      <c r="AI798" s="173"/>
      <c r="AJ798" s="173"/>
      <c r="AK798" s="173"/>
      <c r="AL798" s="173"/>
      <c r="AM798" s="173"/>
      <c r="AN798" s="173"/>
      <c r="AO798" s="173"/>
      <c r="AP798" s="173"/>
      <c r="AQ798" s="173"/>
      <c r="AR798" s="173"/>
      <c r="AS798" s="173"/>
      <c r="AT798" s="173"/>
      <c r="AU798" s="173"/>
      <c r="AV798" s="173"/>
      <c r="AW798" s="173"/>
      <c r="AX798" s="173"/>
      <c r="AY798" s="173"/>
      <c r="AZ798" s="173"/>
      <c r="BA798" s="173"/>
      <c r="BB798" s="173"/>
      <c r="BC798" s="173"/>
      <c r="BD798" s="173"/>
      <c r="BE798" s="173"/>
      <c r="BF798" s="173"/>
      <c r="BG798" s="173"/>
      <c r="BH798" s="173"/>
      <c r="BI798" s="173"/>
      <c r="BJ798" s="173"/>
      <c r="BK798" s="173"/>
      <c r="BL798" s="173"/>
      <c r="BM798" s="173"/>
    </row>
    <row r="799" spans="1:65">
      <c r="A799" s="173"/>
      <c r="B799" s="173"/>
      <c r="C799" s="173"/>
      <c r="D799" s="173"/>
      <c r="E799" s="173"/>
      <c r="F799" s="173"/>
      <c r="G799" s="173"/>
      <c r="H799" s="173"/>
      <c r="I799" s="173"/>
      <c r="J799" s="173"/>
      <c r="K799" s="322"/>
      <c r="L799" s="173"/>
      <c r="M799" s="173"/>
      <c r="Q799" s="173"/>
      <c r="R799" s="173"/>
      <c r="S799" s="173"/>
      <c r="T799" s="173"/>
      <c r="U799" s="173"/>
      <c r="V799" s="173"/>
      <c r="W799" s="173"/>
      <c r="X799" s="173"/>
      <c r="Y799" s="173"/>
      <c r="Z799" s="173"/>
      <c r="AA799" s="173"/>
      <c r="AB799" s="173"/>
      <c r="AC799" s="173"/>
      <c r="AD799" s="173"/>
      <c r="AE799" s="173"/>
      <c r="AF799" s="173"/>
      <c r="AG799" s="173"/>
      <c r="AH799" s="173"/>
      <c r="AI799" s="173"/>
      <c r="AJ799" s="173"/>
      <c r="AK799" s="173"/>
      <c r="AL799" s="173"/>
      <c r="AM799" s="173"/>
      <c r="AN799" s="173"/>
      <c r="AO799" s="173"/>
      <c r="AP799" s="173"/>
      <c r="AQ799" s="173"/>
      <c r="AR799" s="173"/>
      <c r="AS799" s="173"/>
      <c r="AT799" s="173"/>
      <c r="AU799" s="173"/>
      <c r="AV799" s="173"/>
      <c r="AW799" s="173"/>
      <c r="AX799" s="173"/>
      <c r="AY799" s="173"/>
      <c r="AZ799" s="173"/>
      <c r="BA799" s="173"/>
      <c r="BB799" s="173"/>
      <c r="BC799" s="173"/>
      <c r="BD799" s="173"/>
      <c r="BE799" s="173"/>
      <c r="BF799" s="173"/>
      <c r="BG799" s="173"/>
      <c r="BH799" s="173"/>
      <c r="BI799" s="173"/>
      <c r="BJ799" s="173"/>
      <c r="BK799" s="173"/>
      <c r="BL799" s="173"/>
      <c r="BM799" s="173"/>
    </row>
    <row r="800" spans="1:65">
      <c r="A800" s="173"/>
      <c r="B800" s="173"/>
      <c r="C800" s="173"/>
      <c r="D800" s="173"/>
      <c r="E800" s="173"/>
      <c r="F800" s="173"/>
      <c r="G800" s="173"/>
      <c r="H800" s="173"/>
      <c r="I800" s="173"/>
      <c r="J800" s="173"/>
      <c r="K800" s="322"/>
      <c r="L800" s="173"/>
      <c r="M800" s="173"/>
      <c r="Q800" s="173"/>
      <c r="R800" s="173"/>
      <c r="S800" s="173"/>
      <c r="T800" s="173"/>
      <c r="U800" s="173"/>
      <c r="V800" s="173"/>
      <c r="W800" s="173"/>
      <c r="X800" s="173"/>
      <c r="Y800" s="173"/>
      <c r="Z800" s="173"/>
      <c r="AA800" s="173"/>
      <c r="AB800" s="173"/>
      <c r="AC800" s="173"/>
      <c r="AD800" s="173"/>
      <c r="AE800" s="173"/>
      <c r="AF800" s="173"/>
      <c r="AG800" s="173"/>
      <c r="AH800" s="173"/>
      <c r="AI800" s="173"/>
      <c r="AJ800" s="173"/>
      <c r="AK800" s="173"/>
      <c r="AL800" s="173"/>
      <c r="AM800" s="173"/>
      <c r="AN800" s="173"/>
      <c r="AO800" s="173"/>
      <c r="AP800" s="173"/>
      <c r="AQ800" s="173"/>
      <c r="AR800" s="173"/>
      <c r="AS800" s="173"/>
      <c r="AT800" s="173"/>
      <c r="AU800" s="173"/>
      <c r="AV800" s="173"/>
      <c r="AW800" s="173"/>
      <c r="AX800" s="173"/>
      <c r="AY800" s="173"/>
      <c r="AZ800" s="173"/>
      <c r="BA800" s="173"/>
      <c r="BB800" s="173"/>
      <c r="BC800" s="173"/>
      <c r="BD800" s="173"/>
      <c r="BE800" s="173"/>
      <c r="BF800" s="173"/>
      <c r="BG800" s="173"/>
      <c r="BH800" s="173"/>
      <c r="BI800" s="173"/>
      <c r="BJ800" s="173"/>
      <c r="BK800" s="173"/>
      <c r="BL800" s="173"/>
      <c r="BM800" s="173"/>
    </row>
    <row r="801" spans="1:65">
      <c r="A801" s="173"/>
      <c r="B801" s="173"/>
      <c r="C801" s="173"/>
      <c r="D801" s="173"/>
      <c r="E801" s="173"/>
      <c r="F801" s="173"/>
      <c r="G801" s="173"/>
      <c r="H801" s="173"/>
      <c r="I801" s="173"/>
      <c r="J801" s="173"/>
      <c r="K801" s="322"/>
      <c r="L801" s="173"/>
      <c r="M801" s="173"/>
      <c r="Q801" s="173"/>
      <c r="R801" s="173"/>
      <c r="S801" s="173"/>
      <c r="T801" s="173"/>
      <c r="U801" s="173"/>
      <c r="V801" s="173"/>
      <c r="W801" s="173"/>
      <c r="X801" s="173"/>
      <c r="Y801" s="173"/>
      <c r="Z801" s="173"/>
      <c r="AA801" s="173"/>
      <c r="AB801" s="173"/>
      <c r="AC801" s="173"/>
      <c r="AD801" s="173"/>
      <c r="AE801" s="173"/>
      <c r="AF801" s="173"/>
      <c r="AG801" s="173"/>
      <c r="AH801" s="173"/>
      <c r="AI801" s="173"/>
      <c r="AJ801" s="173"/>
      <c r="AK801" s="173"/>
      <c r="AL801" s="173"/>
      <c r="AM801" s="173"/>
      <c r="AN801" s="173"/>
      <c r="AO801" s="173"/>
      <c r="AP801" s="173"/>
      <c r="AQ801" s="173"/>
      <c r="AR801" s="173"/>
      <c r="AS801" s="173"/>
      <c r="AT801" s="173"/>
      <c r="AU801" s="173"/>
      <c r="AV801" s="173"/>
      <c r="AW801" s="173"/>
      <c r="AX801" s="173"/>
      <c r="AY801" s="173"/>
      <c r="AZ801" s="173"/>
      <c r="BA801" s="173"/>
      <c r="BB801" s="173"/>
      <c r="BC801" s="173"/>
      <c r="BD801" s="173"/>
      <c r="BE801" s="173"/>
      <c r="BF801" s="173"/>
      <c r="BG801" s="173"/>
      <c r="BH801" s="173"/>
      <c r="BI801" s="173"/>
      <c r="BJ801" s="173"/>
      <c r="BK801" s="173"/>
      <c r="BL801" s="173"/>
      <c r="BM801" s="173"/>
    </row>
    <row r="802" spans="1:65">
      <c r="A802" s="173"/>
      <c r="B802" s="173"/>
      <c r="C802" s="173"/>
      <c r="D802" s="173"/>
      <c r="E802" s="173"/>
      <c r="F802" s="173"/>
      <c r="G802" s="173"/>
      <c r="H802" s="173"/>
      <c r="I802" s="173"/>
      <c r="J802" s="173"/>
      <c r="K802" s="322"/>
      <c r="L802" s="173"/>
      <c r="M802" s="173"/>
      <c r="Q802" s="173"/>
      <c r="R802" s="173"/>
      <c r="S802" s="173"/>
      <c r="T802" s="173"/>
      <c r="U802" s="173"/>
      <c r="V802" s="173"/>
      <c r="W802" s="173"/>
      <c r="X802" s="173"/>
      <c r="Y802" s="173"/>
      <c r="Z802" s="173"/>
      <c r="AA802" s="173"/>
      <c r="AB802" s="173"/>
      <c r="AC802" s="173"/>
      <c r="AD802" s="173"/>
      <c r="AE802" s="173"/>
      <c r="AF802" s="173"/>
      <c r="AG802" s="173"/>
      <c r="AH802" s="173"/>
      <c r="AI802" s="173"/>
      <c r="AJ802" s="173"/>
      <c r="AK802" s="173"/>
      <c r="AL802" s="173"/>
      <c r="AM802" s="173"/>
      <c r="AN802" s="173"/>
      <c r="AO802" s="173"/>
      <c r="AP802" s="173"/>
      <c r="AQ802" s="173"/>
      <c r="AR802" s="173"/>
      <c r="AS802" s="173"/>
      <c r="AT802" s="173"/>
      <c r="AU802" s="173"/>
      <c r="AV802" s="173"/>
      <c r="AW802" s="173"/>
      <c r="AX802" s="173"/>
      <c r="AY802" s="173"/>
      <c r="AZ802" s="173"/>
      <c r="BA802" s="173"/>
      <c r="BB802" s="173"/>
      <c r="BC802" s="173"/>
      <c r="BD802" s="173"/>
      <c r="BE802" s="173"/>
      <c r="BF802" s="173"/>
      <c r="BG802" s="173"/>
      <c r="BH802" s="173"/>
      <c r="BI802" s="173"/>
      <c r="BJ802" s="173"/>
      <c r="BK802" s="173"/>
      <c r="BL802" s="173"/>
      <c r="BM802" s="173"/>
    </row>
    <row r="803" spans="1:65">
      <c r="A803" s="173"/>
      <c r="B803" s="173"/>
      <c r="C803" s="173"/>
      <c r="D803" s="173"/>
      <c r="E803" s="173"/>
      <c r="F803" s="173"/>
      <c r="G803" s="173"/>
      <c r="H803" s="173"/>
      <c r="I803" s="173"/>
      <c r="J803" s="173"/>
      <c r="K803" s="322"/>
      <c r="L803" s="173"/>
      <c r="M803" s="173"/>
      <c r="Q803" s="173"/>
      <c r="R803" s="173"/>
      <c r="S803" s="173"/>
      <c r="T803" s="173"/>
      <c r="U803" s="173"/>
      <c r="V803" s="173"/>
      <c r="W803" s="173"/>
      <c r="X803" s="173"/>
      <c r="Y803" s="173"/>
      <c r="Z803" s="173"/>
      <c r="AA803" s="173"/>
      <c r="AB803" s="173"/>
      <c r="AC803" s="173"/>
      <c r="AD803" s="173"/>
      <c r="AE803" s="173"/>
      <c r="AF803" s="173"/>
      <c r="AG803" s="173"/>
      <c r="AH803" s="173"/>
      <c r="AI803" s="173"/>
      <c r="AJ803" s="173"/>
      <c r="AK803" s="173"/>
      <c r="AL803" s="173"/>
      <c r="AM803" s="173"/>
      <c r="AN803" s="173"/>
      <c r="AO803" s="173"/>
      <c r="AP803" s="173"/>
      <c r="AQ803" s="173"/>
      <c r="AR803" s="173"/>
      <c r="AS803" s="173"/>
      <c r="AT803" s="173"/>
      <c r="AU803" s="173"/>
      <c r="AV803" s="173"/>
      <c r="AW803" s="173"/>
      <c r="AX803" s="173"/>
      <c r="AY803" s="173"/>
      <c r="AZ803" s="173"/>
      <c r="BA803" s="173"/>
      <c r="BB803" s="173"/>
      <c r="BC803" s="173"/>
      <c r="BD803" s="173"/>
      <c r="BE803" s="173"/>
      <c r="BF803" s="173"/>
      <c r="BG803" s="173"/>
      <c r="BH803" s="173"/>
      <c r="BI803" s="173"/>
      <c r="BJ803" s="173"/>
      <c r="BK803" s="173"/>
      <c r="BL803" s="173"/>
      <c r="BM803" s="173"/>
    </row>
    <row r="804" spans="1:65">
      <c r="A804" s="173"/>
      <c r="B804" s="173"/>
      <c r="C804" s="173"/>
      <c r="D804" s="173"/>
      <c r="E804" s="173"/>
      <c r="F804" s="173"/>
      <c r="G804" s="173"/>
      <c r="H804" s="173"/>
      <c r="I804" s="173"/>
      <c r="J804" s="173"/>
      <c r="K804" s="322"/>
      <c r="L804" s="173"/>
      <c r="M804" s="173"/>
      <c r="Q804" s="173"/>
      <c r="R804" s="173"/>
      <c r="S804" s="173"/>
      <c r="T804" s="173"/>
      <c r="U804" s="173"/>
      <c r="V804" s="173"/>
      <c r="W804" s="173"/>
      <c r="X804" s="173"/>
      <c r="Y804" s="173"/>
      <c r="Z804" s="173"/>
      <c r="AA804" s="173"/>
      <c r="AB804" s="173"/>
      <c r="AC804" s="173"/>
      <c r="AD804" s="173"/>
      <c r="AE804" s="173"/>
      <c r="AF804" s="173"/>
      <c r="AG804" s="173"/>
      <c r="AH804" s="173"/>
      <c r="AI804" s="173"/>
      <c r="AJ804" s="173"/>
      <c r="AK804" s="173"/>
      <c r="AL804" s="173"/>
      <c r="AM804" s="173"/>
      <c r="AN804" s="173"/>
      <c r="AO804" s="173"/>
      <c r="AP804" s="173"/>
      <c r="AQ804" s="173"/>
      <c r="AR804" s="173"/>
      <c r="AS804" s="173"/>
      <c r="AT804" s="173"/>
      <c r="AU804" s="173"/>
      <c r="AV804" s="173"/>
      <c r="AW804" s="173"/>
      <c r="AX804" s="173"/>
      <c r="AY804" s="173"/>
      <c r="AZ804" s="173"/>
      <c r="BA804" s="173"/>
      <c r="BB804" s="173"/>
      <c r="BC804" s="173"/>
      <c r="BD804" s="173"/>
      <c r="BE804" s="173"/>
      <c r="BF804" s="173"/>
      <c r="BG804" s="173"/>
      <c r="BH804" s="173"/>
      <c r="BI804" s="173"/>
      <c r="BJ804" s="173"/>
      <c r="BK804" s="173"/>
      <c r="BL804" s="173"/>
      <c r="BM804" s="173"/>
    </row>
    <row r="805" spans="1:65">
      <c r="A805" s="173"/>
      <c r="B805" s="173"/>
      <c r="C805" s="173"/>
      <c r="D805" s="173"/>
      <c r="E805" s="173"/>
      <c r="F805" s="173"/>
      <c r="G805" s="173"/>
      <c r="H805" s="173"/>
      <c r="I805" s="173"/>
      <c r="J805" s="173"/>
      <c r="K805" s="322"/>
      <c r="L805" s="173"/>
      <c r="M805" s="173"/>
      <c r="Q805" s="173"/>
      <c r="R805" s="173"/>
      <c r="S805" s="173"/>
      <c r="T805" s="173"/>
      <c r="U805" s="173"/>
      <c r="V805" s="173"/>
      <c r="W805" s="173"/>
      <c r="X805" s="173"/>
      <c r="Y805" s="173"/>
      <c r="Z805" s="173"/>
      <c r="AA805" s="173"/>
      <c r="AB805" s="173"/>
      <c r="AC805" s="173"/>
      <c r="AD805" s="173"/>
      <c r="AE805" s="173"/>
      <c r="AF805" s="173"/>
      <c r="AG805" s="173"/>
      <c r="AH805" s="173"/>
      <c r="AI805" s="173"/>
      <c r="AJ805" s="173"/>
      <c r="AK805" s="173"/>
      <c r="AL805" s="173"/>
      <c r="AM805" s="173"/>
      <c r="AN805" s="173"/>
      <c r="AO805" s="173"/>
      <c r="AP805" s="173"/>
      <c r="AQ805" s="173"/>
      <c r="AR805" s="173"/>
      <c r="AS805" s="173"/>
      <c r="AT805" s="173"/>
      <c r="AU805" s="173"/>
      <c r="AV805" s="173"/>
      <c r="AW805" s="173"/>
      <c r="AX805" s="173"/>
      <c r="AY805" s="173"/>
      <c r="AZ805" s="173"/>
      <c r="BA805" s="173"/>
      <c r="BB805" s="173"/>
      <c r="BC805" s="173"/>
      <c r="BD805" s="173"/>
      <c r="BE805" s="173"/>
      <c r="BF805" s="173"/>
      <c r="BG805" s="173"/>
      <c r="BH805" s="173"/>
      <c r="BI805" s="173"/>
      <c r="BJ805" s="173"/>
      <c r="BK805" s="173"/>
      <c r="BL805" s="173"/>
      <c r="BM805" s="173"/>
    </row>
    <row r="806" spans="1:65">
      <c r="A806" s="173"/>
      <c r="B806" s="173"/>
      <c r="C806" s="173"/>
      <c r="D806" s="173"/>
      <c r="E806" s="173"/>
      <c r="F806" s="173"/>
      <c r="G806" s="173"/>
      <c r="H806" s="173"/>
      <c r="I806" s="173"/>
      <c r="J806" s="173"/>
      <c r="K806" s="322"/>
      <c r="L806" s="173"/>
      <c r="M806" s="173"/>
      <c r="Q806" s="173"/>
      <c r="R806" s="173"/>
      <c r="S806" s="173"/>
      <c r="T806" s="173"/>
      <c r="U806" s="173"/>
      <c r="V806" s="173"/>
      <c r="W806" s="173"/>
      <c r="X806" s="173"/>
      <c r="Y806" s="173"/>
      <c r="Z806" s="173"/>
      <c r="AA806" s="173"/>
      <c r="AB806" s="173"/>
      <c r="AC806" s="173"/>
      <c r="AD806" s="173"/>
      <c r="AE806" s="173"/>
      <c r="AF806" s="173"/>
      <c r="AG806" s="173"/>
      <c r="AH806" s="173"/>
      <c r="AI806" s="173"/>
      <c r="AJ806" s="173"/>
      <c r="AK806" s="173"/>
      <c r="AL806" s="173"/>
      <c r="AM806" s="173"/>
      <c r="AN806" s="173"/>
      <c r="AO806" s="173"/>
      <c r="AP806" s="173"/>
      <c r="AQ806" s="173"/>
      <c r="AR806" s="173"/>
      <c r="AS806" s="173"/>
      <c r="AT806" s="173"/>
      <c r="AU806" s="173"/>
      <c r="AV806" s="173"/>
      <c r="AW806" s="173"/>
      <c r="AX806" s="173"/>
      <c r="AY806" s="173"/>
      <c r="AZ806" s="173"/>
      <c r="BA806" s="173"/>
      <c r="BB806" s="173"/>
      <c r="BC806" s="173"/>
      <c r="BD806" s="173"/>
      <c r="BE806" s="173"/>
      <c r="BF806" s="173"/>
      <c r="BG806" s="173"/>
      <c r="BH806" s="173"/>
      <c r="BI806" s="173"/>
      <c r="BJ806" s="173"/>
      <c r="BK806" s="173"/>
      <c r="BL806" s="173"/>
      <c r="BM806" s="173"/>
    </row>
    <row r="807" spans="1:65">
      <c r="A807" s="173"/>
      <c r="B807" s="173"/>
      <c r="C807" s="173"/>
      <c r="D807" s="173"/>
      <c r="E807" s="173"/>
      <c r="F807" s="173"/>
      <c r="G807" s="173"/>
      <c r="H807" s="173"/>
      <c r="I807" s="173"/>
      <c r="J807" s="173"/>
      <c r="K807" s="322"/>
      <c r="L807" s="173"/>
      <c r="M807" s="173"/>
      <c r="Q807" s="173"/>
      <c r="R807" s="173"/>
      <c r="S807" s="173"/>
      <c r="T807" s="173"/>
      <c r="U807" s="173"/>
      <c r="V807" s="173"/>
      <c r="W807" s="173"/>
      <c r="X807" s="173"/>
      <c r="Y807" s="173"/>
      <c r="Z807" s="173"/>
      <c r="AA807" s="173"/>
      <c r="AB807" s="173"/>
      <c r="AC807" s="173"/>
      <c r="AD807" s="173"/>
      <c r="AE807" s="173"/>
      <c r="AF807" s="173"/>
      <c r="AG807" s="173"/>
      <c r="AH807" s="173"/>
      <c r="AI807" s="173"/>
      <c r="AJ807" s="173"/>
      <c r="AK807" s="173"/>
      <c r="AL807" s="173"/>
      <c r="AM807" s="173"/>
      <c r="AN807" s="173"/>
      <c r="AO807" s="173"/>
      <c r="AP807" s="173"/>
      <c r="AQ807" s="173"/>
      <c r="AR807" s="173"/>
      <c r="AS807" s="173"/>
      <c r="AT807" s="173"/>
      <c r="AU807" s="173"/>
      <c r="AV807" s="173"/>
      <c r="AW807" s="173"/>
      <c r="AX807" s="173"/>
      <c r="AY807" s="173"/>
      <c r="AZ807" s="173"/>
      <c r="BA807" s="173"/>
      <c r="BB807" s="173"/>
      <c r="BC807" s="173"/>
      <c r="BD807" s="173"/>
      <c r="BE807" s="173"/>
      <c r="BF807" s="173"/>
      <c r="BG807" s="173"/>
      <c r="BH807" s="173"/>
      <c r="BI807" s="173"/>
      <c r="BJ807" s="173"/>
      <c r="BK807" s="173"/>
      <c r="BL807" s="173"/>
      <c r="BM807" s="173"/>
    </row>
    <row r="808" spans="1:65">
      <c r="A808" s="173"/>
      <c r="B808" s="173"/>
      <c r="C808" s="173"/>
      <c r="D808" s="173"/>
      <c r="E808" s="173"/>
      <c r="F808" s="173"/>
      <c r="G808" s="173"/>
      <c r="H808" s="173"/>
      <c r="I808" s="173"/>
      <c r="J808" s="173"/>
      <c r="K808" s="322"/>
      <c r="L808" s="173"/>
      <c r="M808" s="173"/>
      <c r="Q808" s="173"/>
      <c r="R808" s="173"/>
      <c r="S808" s="173"/>
      <c r="T808" s="173"/>
      <c r="U808" s="173"/>
      <c r="V808" s="173"/>
      <c r="W808" s="173"/>
      <c r="X808" s="173"/>
      <c r="Y808" s="173"/>
      <c r="Z808" s="173"/>
      <c r="AA808" s="173"/>
      <c r="AB808" s="173"/>
      <c r="AC808" s="173"/>
      <c r="AD808" s="173"/>
      <c r="AE808" s="173"/>
      <c r="AF808" s="173"/>
      <c r="AG808" s="173"/>
      <c r="AH808" s="173"/>
      <c r="AI808" s="173"/>
      <c r="AJ808" s="173"/>
      <c r="AK808" s="173"/>
      <c r="AL808" s="173"/>
      <c r="AM808" s="173"/>
      <c r="AN808" s="173"/>
      <c r="AO808" s="173"/>
      <c r="AP808" s="173"/>
      <c r="AQ808" s="173"/>
      <c r="AR808" s="173"/>
      <c r="AS808" s="173"/>
      <c r="AT808" s="173"/>
      <c r="AU808" s="173"/>
      <c r="AV808" s="173"/>
      <c r="AW808" s="173"/>
      <c r="AX808" s="173"/>
      <c r="AY808" s="173"/>
      <c r="AZ808" s="173"/>
      <c r="BA808" s="173"/>
      <c r="BB808" s="173"/>
      <c r="BC808" s="173"/>
      <c r="BD808" s="173"/>
      <c r="BE808" s="173"/>
      <c r="BF808" s="173"/>
      <c r="BG808" s="173"/>
      <c r="BH808" s="173"/>
      <c r="BI808" s="173"/>
      <c r="BJ808" s="173"/>
      <c r="BK808" s="173"/>
      <c r="BL808" s="173"/>
      <c r="BM808" s="173"/>
    </row>
    <row r="809" spans="1:65">
      <c r="A809" s="173"/>
      <c r="B809" s="173"/>
      <c r="C809" s="173"/>
      <c r="D809" s="173"/>
      <c r="E809" s="173"/>
      <c r="F809" s="173"/>
      <c r="G809" s="173"/>
      <c r="H809" s="173"/>
      <c r="I809" s="173"/>
      <c r="J809" s="173"/>
      <c r="K809" s="322"/>
      <c r="L809" s="173"/>
      <c r="M809" s="173"/>
      <c r="Q809" s="173"/>
      <c r="R809" s="173"/>
      <c r="S809" s="173"/>
      <c r="T809" s="173"/>
      <c r="U809" s="173"/>
      <c r="V809" s="173"/>
      <c r="W809" s="173"/>
      <c r="X809" s="173"/>
      <c r="Y809" s="173"/>
      <c r="Z809" s="173"/>
      <c r="AA809" s="173"/>
      <c r="AB809" s="173"/>
      <c r="AC809" s="173"/>
      <c r="AD809" s="173"/>
      <c r="AE809" s="173"/>
      <c r="AF809" s="173"/>
      <c r="AG809" s="173"/>
      <c r="AH809" s="173"/>
      <c r="AI809" s="173"/>
      <c r="AJ809" s="173"/>
      <c r="AK809" s="173"/>
      <c r="AL809" s="173"/>
      <c r="AM809" s="173"/>
      <c r="AN809" s="173"/>
      <c r="AO809" s="173"/>
      <c r="AP809" s="173"/>
      <c r="AQ809" s="173"/>
      <c r="AR809" s="173"/>
      <c r="AS809" s="173"/>
      <c r="AT809" s="173"/>
      <c r="AU809" s="173"/>
      <c r="AV809" s="173"/>
      <c r="AW809" s="173"/>
      <c r="AX809" s="173"/>
      <c r="AY809" s="173"/>
      <c r="AZ809" s="173"/>
      <c r="BA809" s="173"/>
      <c r="BB809" s="173"/>
      <c r="BC809" s="173"/>
      <c r="BD809" s="173"/>
      <c r="BE809" s="173"/>
      <c r="BF809" s="173"/>
      <c r="BG809" s="173"/>
      <c r="BH809" s="173"/>
      <c r="BI809" s="173"/>
      <c r="BJ809" s="173"/>
      <c r="BK809" s="173"/>
      <c r="BL809" s="173"/>
      <c r="BM809" s="173"/>
    </row>
    <row r="810" spans="1:65">
      <c r="A810" s="173"/>
      <c r="B810" s="173"/>
      <c r="C810" s="173"/>
      <c r="D810" s="173"/>
      <c r="E810" s="173"/>
      <c r="F810" s="173"/>
      <c r="G810" s="173"/>
      <c r="H810" s="173"/>
      <c r="I810" s="173"/>
      <c r="J810" s="173"/>
      <c r="K810" s="322"/>
      <c r="L810" s="173"/>
      <c r="M810" s="173"/>
      <c r="Q810" s="173"/>
      <c r="R810" s="173"/>
      <c r="S810" s="173"/>
      <c r="T810" s="173"/>
      <c r="U810" s="173"/>
      <c r="V810" s="173"/>
      <c r="W810" s="173"/>
      <c r="X810" s="173"/>
      <c r="Y810" s="173"/>
      <c r="Z810" s="173"/>
      <c r="AA810" s="173"/>
      <c r="AB810" s="173"/>
      <c r="AC810" s="173"/>
      <c r="AD810" s="173"/>
      <c r="AE810" s="173"/>
      <c r="AF810" s="173"/>
      <c r="AG810" s="173"/>
      <c r="AH810" s="173"/>
      <c r="AI810" s="173"/>
      <c r="AJ810" s="173"/>
      <c r="AK810" s="173"/>
      <c r="AL810" s="173"/>
      <c r="AM810" s="173"/>
      <c r="AN810" s="173"/>
      <c r="AO810" s="173"/>
      <c r="AP810" s="173"/>
      <c r="AQ810" s="173"/>
      <c r="AR810" s="173"/>
      <c r="AS810" s="173"/>
      <c r="AT810" s="173"/>
      <c r="AU810" s="173"/>
      <c r="AV810" s="173"/>
      <c r="AW810" s="173"/>
      <c r="AX810" s="173"/>
      <c r="AY810" s="173"/>
      <c r="AZ810" s="173"/>
      <c r="BA810" s="173"/>
      <c r="BB810" s="173"/>
      <c r="BC810" s="173"/>
      <c r="BD810" s="173"/>
      <c r="BE810" s="173"/>
      <c r="BF810" s="173"/>
      <c r="BG810" s="173"/>
      <c r="BH810" s="173"/>
      <c r="BI810" s="173"/>
      <c r="BJ810" s="173"/>
      <c r="BK810" s="173"/>
      <c r="BL810" s="173"/>
      <c r="BM810" s="173"/>
    </row>
    <row r="811" spans="1:65">
      <c r="A811" s="173"/>
      <c r="B811" s="173"/>
      <c r="C811" s="173"/>
      <c r="D811" s="173"/>
      <c r="E811" s="173"/>
      <c r="F811" s="173"/>
      <c r="G811" s="173"/>
      <c r="H811" s="173"/>
      <c r="I811" s="173"/>
      <c r="J811" s="173"/>
      <c r="K811" s="322"/>
      <c r="L811" s="173"/>
      <c r="M811" s="173"/>
      <c r="Q811" s="173"/>
      <c r="R811" s="173"/>
      <c r="S811" s="173"/>
      <c r="T811" s="173"/>
      <c r="U811" s="173"/>
      <c r="V811" s="173"/>
      <c r="W811" s="173"/>
      <c r="X811" s="173"/>
      <c r="Y811" s="173"/>
      <c r="Z811" s="173"/>
      <c r="AA811" s="173"/>
      <c r="AB811" s="173"/>
      <c r="AC811" s="173"/>
      <c r="AD811" s="173"/>
      <c r="AE811" s="173"/>
      <c r="AF811" s="173"/>
      <c r="AG811" s="173"/>
      <c r="AH811" s="173"/>
      <c r="AI811" s="173"/>
      <c r="AJ811" s="173"/>
      <c r="AK811" s="173"/>
      <c r="AL811" s="173"/>
      <c r="AM811" s="173"/>
      <c r="AN811" s="173"/>
      <c r="AO811" s="173"/>
      <c r="AP811" s="173"/>
      <c r="AQ811" s="173"/>
      <c r="AR811" s="173"/>
      <c r="AS811" s="173"/>
      <c r="AT811" s="173"/>
      <c r="AU811" s="173"/>
      <c r="AV811" s="173"/>
      <c r="AW811" s="173"/>
      <c r="AX811" s="173"/>
      <c r="AY811" s="173"/>
      <c r="AZ811" s="173"/>
      <c r="BA811" s="173"/>
      <c r="BB811" s="173"/>
      <c r="BC811" s="173"/>
      <c r="BD811" s="173"/>
      <c r="BE811" s="173"/>
      <c r="BF811" s="173"/>
      <c r="BG811" s="173"/>
      <c r="BH811" s="173"/>
      <c r="BI811" s="173"/>
      <c r="BJ811" s="173"/>
      <c r="BK811" s="173"/>
      <c r="BL811" s="173"/>
      <c r="BM811" s="173"/>
    </row>
    <row r="812" spans="1:65">
      <c r="A812" s="173"/>
      <c r="B812" s="173"/>
      <c r="C812" s="173"/>
      <c r="D812" s="173"/>
      <c r="E812" s="173"/>
      <c r="F812" s="173"/>
      <c r="G812" s="173"/>
      <c r="H812" s="173"/>
      <c r="I812" s="173"/>
      <c r="J812" s="173"/>
      <c r="K812" s="322"/>
      <c r="L812" s="173"/>
      <c r="M812" s="173"/>
      <c r="Q812" s="173"/>
      <c r="R812" s="173"/>
      <c r="S812" s="173"/>
      <c r="T812" s="173"/>
      <c r="U812" s="173"/>
      <c r="V812" s="173"/>
      <c r="W812" s="173"/>
      <c r="X812" s="173"/>
      <c r="Y812" s="173"/>
      <c r="Z812" s="173"/>
      <c r="AA812" s="173"/>
      <c r="AB812" s="173"/>
      <c r="AC812" s="173"/>
      <c r="AD812" s="173"/>
      <c r="AE812" s="173"/>
      <c r="AF812" s="173"/>
      <c r="AG812" s="173"/>
      <c r="AH812" s="173"/>
      <c r="AI812" s="173"/>
      <c r="AJ812" s="173"/>
      <c r="AK812" s="173"/>
      <c r="AL812" s="173"/>
      <c r="AM812" s="173"/>
      <c r="AN812" s="173"/>
      <c r="AO812" s="173"/>
      <c r="AP812" s="173"/>
      <c r="AQ812" s="173"/>
      <c r="AR812" s="173"/>
      <c r="AS812" s="173"/>
      <c r="AT812" s="173"/>
      <c r="AU812" s="173"/>
      <c r="AV812" s="173"/>
      <c r="AW812" s="173"/>
      <c r="AX812" s="173"/>
      <c r="AY812" s="173"/>
      <c r="AZ812" s="173"/>
      <c r="BA812" s="173"/>
      <c r="BB812" s="173"/>
      <c r="BC812" s="173"/>
      <c r="BD812" s="173"/>
      <c r="BE812" s="173"/>
      <c r="BF812" s="173"/>
      <c r="BG812" s="173"/>
      <c r="BH812" s="173"/>
      <c r="BI812" s="173"/>
      <c r="BJ812" s="173"/>
      <c r="BK812" s="173"/>
      <c r="BL812" s="173"/>
      <c r="BM812" s="173"/>
    </row>
    <row r="813" spans="1:65">
      <c r="A813" s="173"/>
      <c r="B813" s="173"/>
      <c r="C813" s="173"/>
      <c r="D813" s="173"/>
      <c r="E813" s="173"/>
      <c r="F813" s="173"/>
      <c r="G813" s="173"/>
      <c r="H813" s="173"/>
      <c r="I813" s="173"/>
      <c r="J813" s="173"/>
      <c r="K813" s="322"/>
      <c r="L813" s="173"/>
      <c r="M813" s="173"/>
      <c r="Q813" s="173"/>
      <c r="R813" s="173"/>
      <c r="S813" s="173"/>
      <c r="T813" s="173"/>
      <c r="U813" s="173"/>
      <c r="V813" s="173"/>
      <c r="W813" s="173"/>
      <c r="X813" s="173"/>
      <c r="Y813" s="173"/>
      <c r="Z813" s="173"/>
      <c r="AA813" s="173"/>
      <c r="AB813" s="173"/>
      <c r="AC813" s="173"/>
      <c r="AD813" s="173"/>
      <c r="AE813" s="173"/>
      <c r="AF813" s="173"/>
      <c r="AG813" s="173"/>
      <c r="AH813" s="173"/>
      <c r="AI813" s="173"/>
      <c r="AJ813" s="173"/>
      <c r="AK813" s="173"/>
      <c r="AL813" s="173"/>
      <c r="AM813" s="173"/>
      <c r="AN813" s="173"/>
      <c r="AO813" s="173"/>
      <c r="AP813" s="173"/>
      <c r="AQ813" s="173"/>
      <c r="AR813" s="173"/>
      <c r="AS813" s="173"/>
      <c r="AT813" s="173"/>
      <c r="AU813" s="173"/>
      <c r="AV813" s="173"/>
      <c r="AW813" s="173"/>
      <c r="AX813" s="173"/>
      <c r="AY813" s="173"/>
      <c r="AZ813" s="173"/>
      <c r="BA813" s="173"/>
      <c r="BB813" s="173"/>
      <c r="BC813" s="173"/>
      <c r="BD813" s="173"/>
      <c r="BE813" s="173"/>
      <c r="BF813" s="173"/>
      <c r="BG813" s="173"/>
      <c r="BH813" s="173"/>
      <c r="BI813" s="173"/>
      <c r="BJ813" s="173"/>
      <c r="BK813" s="173"/>
      <c r="BL813" s="173"/>
      <c r="BM813" s="173"/>
    </row>
    <row r="814" spans="1:65">
      <c r="A814" s="173"/>
      <c r="B814" s="173"/>
      <c r="C814" s="173"/>
      <c r="D814" s="173"/>
      <c r="E814" s="173"/>
      <c r="F814" s="173"/>
      <c r="G814" s="173"/>
      <c r="H814" s="173"/>
      <c r="I814" s="173"/>
      <c r="J814" s="173"/>
      <c r="K814" s="322"/>
      <c r="L814" s="173"/>
      <c r="M814" s="173"/>
      <c r="Q814" s="173"/>
      <c r="R814" s="173"/>
      <c r="S814" s="173"/>
      <c r="T814" s="173"/>
      <c r="U814" s="173"/>
      <c r="V814" s="173"/>
      <c r="W814" s="173"/>
      <c r="X814" s="173"/>
      <c r="Y814" s="173"/>
      <c r="Z814" s="173"/>
      <c r="AA814" s="173"/>
      <c r="AB814" s="173"/>
      <c r="AC814" s="173"/>
      <c r="AD814" s="173"/>
      <c r="AE814" s="173"/>
      <c r="AF814" s="173"/>
      <c r="AG814" s="173"/>
      <c r="AH814" s="173"/>
      <c r="AI814" s="173"/>
      <c r="AJ814" s="173"/>
      <c r="AK814" s="173"/>
      <c r="AL814" s="173"/>
      <c r="AM814" s="173"/>
      <c r="AN814" s="173"/>
      <c r="AO814" s="173"/>
      <c r="AP814" s="173"/>
      <c r="AQ814" s="173"/>
      <c r="AR814" s="173"/>
      <c r="AS814" s="173"/>
      <c r="AT814" s="173"/>
      <c r="AU814" s="173"/>
      <c r="AV814" s="173"/>
      <c r="AW814" s="173"/>
      <c r="AX814" s="173"/>
      <c r="AY814" s="173"/>
      <c r="AZ814" s="173"/>
      <c r="BA814" s="173"/>
      <c r="BB814" s="173"/>
      <c r="BC814" s="173"/>
      <c r="BD814" s="173"/>
      <c r="BE814" s="173"/>
      <c r="BF814" s="173"/>
      <c r="BG814" s="173"/>
      <c r="BH814" s="173"/>
      <c r="BI814" s="173"/>
      <c r="BJ814" s="173"/>
      <c r="BK814" s="173"/>
      <c r="BL814" s="173"/>
      <c r="BM814" s="173"/>
    </row>
    <row r="815" spans="1:65">
      <c r="A815" s="173"/>
      <c r="B815" s="173"/>
      <c r="C815" s="173"/>
      <c r="D815" s="173"/>
      <c r="E815" s="173"/>
      <c r="F815" s="173"/>
      <c r="G815" s="173"/>
      <c r="H815" s="173"/>
      <c r="I815" s="173"/>
      <c r="J815" s="173"/>
      <c r="K815" s="322"/>
      <c r="L815" s="173"/>
      <c r="M815" s="173"/>
      <c r="Q815" s="173"/>
      <c r="R815" s="173"/>
      <c r="S815" s="173"/>
      <c r="T815" s="173"/>
      <c r="U815" s="173"/>
      <c r="V815" s="173"/>
      <c r="W815" s="173"/>
      <c r="X815" s="173"/>
      <c r="Y815" s="173"/>
      <c r="Z815" s="173"/>
      <c r="AA815" s="173"/>
      <c r="AB815" s="173"/>
      <c r="AC815" s="173"/>
      <c r="AD815" s="173"/>
      <c r="AE815" s="173"/>
      <c r="AF815" s="173"/>
      <c r="AG815" s="173"/>
      <c r="AH815" s="173"/>
      <c r="AI815" s="173"/>
      <c r="AJ815" s="173"/>
      <c r="AK815" s="173"/>
      <c r="AL815" s="173"/>
      <c r="AM815" s="173"/>
      <c r="AN815" s="173"/>
      <c r="AO815" s="173"/>
      <c r="AP815" s="173"/>
      <c r="AQ815" s="173"/>
      <c r="AR815" s="173"/>
      <c r="AS815" s="173"/>
      <c r="AT815" s="173"/>
      <c r="AU815" s="173"/>
      <c r="AV815" s="173"/>
      <c r="AW815" s="173"/>
      <c r="AX815" s="173"/>
      <c r="AY815" s="173"/>
      <c r="AZ815" s="173"/>
      <c r="BA815" s="173"/>
      <c r="BB815" s="173"/>
      <c r="BC815" s="173"/>
      <c r="BD815" s="173"/>
      <c r="BE815" s="173"/>
      <c r="BF815" s="173"/>
      <c r="BG815" s="173"/>
      <c r="BH815" s="173"/>
      <c r="BI815" s="173"/>
      <c r="BJ815" s="173"/>
      <c r="BK815" s="173"/>
      <c r="BL815" s="173"/>
      <c r="BM815" s="173"/>
    </row>
    <row r="816" spans="1:65">
      <c r="A816" s="173"/>
      <c r="B816" s="173"/>
      <c r="C816" s="173"/>
      <c r="D816" s="173"/>
      <c r="E816" s="173"/>
      <c r="F816" s="173"/>
      <c r="G816" s="173"/>
      <c r="H816" s="173"/>
      <c r="I816" s="173"/>
      <c r="J816" s="173"/>
      <c r="K816" s="322"/>
      <c r="L816" s="173"/>
      <c r="M816" s="173"/>
      <c r="Q816" s="173"/>
      <c r="R816" s="173"/>
      <c r="S816" s="173"/>
      <c r="T816" s="173"/>
      <c r="U816" s="173"/>
      <c r="V816" s="173"/>
      <c r="W816" s="173"/>
      <c r="X816" s="173"/>
      <c r="Y816" s="173"/>
      <c r="Z816" s="173"/>
      <c r="AA816" s="173"/>
      <c r="AB816" s="173"/>
      <c r="AC816" s="173"/>
      <c r="AD816" s="173"/>
      <c r="AE816" s="173"/>
      <c r="AF816" s="173"/>
      <c r="AG816" s="173"/>
      <c r="AH816" s="173"/>
      <c r="AI816" s="173"/>
      <c r="AJ816" s="173"/>
      <c r="AK816" s="173"/>
      <c r="AL816" s="173"/>
      <c r="AM816" s="173"/>
      <c r="AN816" s="173"/>
      <c r="AO816" s="173"/>
      <c r="AP816" s="173"/>
      <c r="AQ816" s="173"/>
      <c r="AR816" s="173"/>
      <c r="AS816" s="173"/>
      <c r="AT816" s="173"/>
      <c r="AU816" s="173"/>
      <c r="AV816" s="173"/>
      <c r="AW816" s="173"/>
      <c r="AX816" s="173"/>
      <c r="AY816" s="173"/>
      <c r="AZ816" s="173"/>
      <c r="BA816" s="173"/>
      <c r="BB816" s="173"/>
      <c r="BC816" s="173"/>
      <c r="BD816" s="173"/>
      <c r="BE816" s="173"/>
      <c r="BF816" s="173"/>
      <c r="BG816" s="173"/>
      <c r="BH816" s="173"/>
      <c r="BI816" s="173"/>
      <c r="BJ816" s="173"/>
      <c r="BK816" s="173"/>
      <c r="BL816" s="173"/>
      <c r="BM816" s="173"/>
    </row>
    <row r="817" spans="1:65">
      <c r="A817" s="173"/>
      <c r="B817" s="173"/>
      <c r="C817" s="173"/>
      <c r="D817" s="173"/>
      <c r="E817" s="173"/>
      <c r="F817" s="173"/>
      <c r="G817" s="173"/>
      <c r="H817" s="173"/>
      <c r="I817" s="173"/>
      <c r="J817" s="173"/>
      <c r="K817" s="322"/>
      <c r="L817" s="173"/>
      <c r="M817" s="173"/>
      <c r="Q817" s="173"/>
      <c r="R817" s="173"/>
      <c r="S817" s="173"/>
      <c r="T817" s="173"/>
      <c r="U817" s="173"/>
      <c r="V817" s="173"/>
      <c r="W817" s="173"/>
      <c r="X817" s="173"/>
      <c r="Y817" s="173"/>
      <c r="Z817" s="173"/>
      <c r="AA817" s="173"/>
      <c r="AB817" s="173"/>
      <c r="AC817" s="173"/>
      <c r="AD817" s="173"/>
      <c r="AE817" s="173"/>
      <c r="AF817" s="173"/>
      <c r="AG817" s="173"/>
      <c r="AH817" s="173"/>
      <c r="AI817" s="173"/>
      <c r="AJ817" s="173"/>
      <c r="AK817" s="173"/>
      <c r="AL817" s="173"/>
      <c r="AM817" s="173"/>
      <c r="AN817" s="173"/>
      <c r="AO817" s="173"/>
      <c r="AP817" s="173"/>
      <c r="AQ817" s="173"/>
      <c r="AR817" s="173"/>
      <c r="AS817" s="173"/>
      <c r="AT817" s="173"/>
      <c r="AU817" s="173"/>
      <c r="AV817" s="173"/>
      <c r="AW817" s="173"/>
      <c r="AX817" s="173"/>
      <c r="AY817" s="173"/>
      <c r="AZ817" s="173"/>
      <c r="BA817" s="173"/>
      <c r="BB817" s="173"/>
      <c r="BC817" s="173"/>
      <c r="BD817" s="173"/>
      <c r="BE817" s="173"/>
      <c r="BF817" s="173"/>
      <c r="BG817" s="173"/>
      <c r="BH817" s="173"/>
      <c r="BI817" s="173"/>
      <c r="BJ817" s="173"/>
      <c r="BK817" s="173"/>
      <c r="BL817" s="173"/>
      <c r="BM817" s="173"/>
    </row>
    <row r="818" spans="1:65">
      <c r="A818" s="173"/>
      <c r="B818" s="173"/>
      <c r="C818" s="173"/>
      <c r="D818" s="173"/>
      <c r="E818" s="173"/>
      <c r="F818" s="173"/>
      <c r="G818" s="173"/>
      <c r="H818" s="173"/>
      <c r="I818" s="173"/>
      <c r="J818" s="173"/>
      <c r="K818" s="322"/>
      <c r="L818" s="173"/>
      <c r="M818" s="173"/>
      <c r="Q818" s="173"/>
      <c r="R818" s="173"/>
      <c r="S818" s="173"/>
      <c r="T818" s="173"/>
      <c r="U818" s="173"/>
      <c r="V818" s="173"/>
      <c r="W818" s="173"/>
      <c r="X818" s="173"/>
      <c r="Y818" s="173"/>
      <c r="Z818" s="173"/>
      <c r="AA818" s="173"/>
      <c r="AB818" s="173"/>
      <c r="AC818" s="173"/>
      <c r="AD818" s="173"/>
      <c r="AE818" s="173"/>
      <c r="AF818" s="173"/>
      <c r="AG818" s="173"/>
      <c r="AH818" s="173"/>
      <c r="AI818" s="173"/>
      <c r="AJ818" s="173"/>
      <c r="AK818" s="173"/>
      <c r="AL818" s="173"/>
      <c r="AM818" s="173"/>
      <c r="AN818" s="173"/>
      <c r="AO818" s="173"/>
      <c r="AP818" s="173"/>
      <c r="AQ818" s="173"/>
      <c r="AR818" s="173"/>
      <c r="AS818" s="173"/>
      <c r="AT818" s="173"/>
      <c r="AU818" s="173"/>
      <c r="AV818" s="173"/>
      <c r="AW818" s="173"/>
      <c r="AX818" s="173"/>
      <c r="AY818" s="173"/>
      <c r="AZ818" s="173"/>
      <c r="BA818" s="173"/>
      <c r="BB818" s="173"/>
      <c r="BC818" s="173"/>
      <c r="BD818" s="173"/>
      <c r="BE818" s="173"/>
      <c r="BF818" s="173"/>
      <c r="BG818" s="173"/>
      <c r="BH818" s="173"/>
      <c r="BI818" s="173"/>
      <c r="BJ818" s="173"/>
      <c r="BK818" s="173"/>
      <c r="BL818" s="173"/>
      <c r="BM818" s="173"/>
    </row>
    <row r="819" spans="1:65">
      <c r="A819" s="173"/>
      <c r="B819" s="173"/>
      <c r="C819" s="173"/>
      <c r="D819" s="173"/>
      <c r="E819" s="173"/>
      <c r="F819" s="173"/>
      <c r="G819" s="173"/>
      <c r="H819" s="173"/>
      <c r="I819" s="173"/>
      <c r="J819" s="173"/>
      <c r="K819" s="322"/>
      <c r="L819" s="173"/>
      <c r="M819" s="173"/>
      <c r="Q819" s="173"/>
      <c r="R819" s="173"/>
      <c r="S819" s="173"/>
      <c r="T819" s="173"/>
      <c r="U819" s="173"/>
      <c r="V819" s="173"/>
      <c r="W819" s="173"/>
      <c r="X819" s="173"/>
      <c r="Y819" s="173"/>
      <c r="Z819" s="173"/>
      <c r="AA819" s="173"/>
      <c r="AB819" s="173"/>
      <c r="AC819" s="173"/>
      <c r="AD819" s="173"/>
      <c r="AE819" s="173"/>
      <c r="AF819" s="173"/>
      <c r="AG819" s="173"/>
      <c r="AH819" s="173"/>
      <c r="AI819" s="173"/>
      <c r="AJ819" s="173"/>
      <c r="AK819" s="173"/>
      <c r="AL819" s="173"/>
      <c r="AM819" s="173"/>
      <c r="AN819" s="173"/>
      <c r="AO819" s="173"/>
      <c r="AP819" s="173"/>
      <c r="AQ819" s="173"/>
      <c r="AR819" s="173"/>
      <c r="AS819" s="173"/>
      <c r="AT819" s="173"/>
      <c r="AU819" s="173"/>
      <c r="AV819" s="173"/>
      <c r="AW819" s="173"/>
      <c r="AX819" s="173"/>
      <c r="AY819" s="173"/>
      <c r="AZ819" s="173"/>
      <c r="BA819" s="173"/>
      <c r="BB819" s="173"/>
      <c r="BC819" s="173"/>
      <c r="BD819" s="173"/>
      <c r="BE819" s="173"/>
      <c r="BF819" s="173"/>
      <c r="BG819" s="173"/>
      <c r="BH819" s="173"/>
      <c r="BI819" s="173"/>
      <c r="BJ819" s="173"/>
      <c r="BK819" s="173"/>
      <c r="BL819" s="173"/>
      <c r="BM819" s="173"/>
    </row>
    <row r="820" spans="1:65">
      <c r="A820" s="173"/>
      <c r="B820" s="173"/>
      <c r="C820" s="173"/>
      <c r="D820" s="173"/>
      <c r="E820" s="173"/>
      <c r="F820" s="173"/>
      <c r="G820" s="173"/>
      <c r="H820" s="173"/>
      <c r="I820" s="173"/>
      <c r="J820" s="173"/>
      <c r="K820" s="322"/>
      <c r="L820" s="173"/>
      <c r="M820" s="173"/>
      <c r="Q820" s="173"/>
      <c r="R820" s="173"/>
      <c r="S820" s="173"/>
      <c r="T820" s="173"/>
      <c r="U820" s="173"/>
      <c r="V820" s="173"/>
      <c r="W820" s="173"/>
      <c r="X820" s="173"/>
      <c r="Y820" s="173"/>
      <c r="Z820" s="173"/>
      <c r="AA820" s="173"/>
      <c r="AB820" s="173"/>
      <c r="AC820" s="173"/>
      <c r="AD820" s="173"/>
      <c r="AE820" s="173"/>
      <c r="AF820" s="173"/>
      <c r="AG820" s="173"/>
      <c r="AH820" s="173"/>
      <c r="AI820" s="173"/>
      <c r="AJ820" s="173"/>
      <c r="AK820" s="173"/>
      <c r="AL820" s="173"/>
      <c r="AM820" s="173"/>
      <c r="AN820" s="173"/>
      <c r="AO820" s="173"/>
      <c r="AP820" s="173"/>
      <c r="AQ820" s="173"/>
      <c r="AR820" s="173"/>
      <c r="AS820" s="173"/>
      <c r="AT820" s="173"/>
      <c r="AU820" s="173"/>
      <c r="AV820" s="173"/>
      <c r="AW820" s="173"/>
      <c r="AX820" s="173"/>
      <c r="AY820" s="173"/>
      <c r="AZ820" s="173"/>
      <c r="BA820" s="173"/>
      <c r="BB820" s="173"/>
      <c r="BC820" s="173"/>
      <c r="BD820" s="173"/>
      <c r="BE820" s="173"/>
      <c r="BF820" s="173"/>
      <c r="BG820" s="173"/>
      <c r="BH820" s="173"/>
      <c r="BI820" s="173"/>
      <c r="BJ820" s="173"/>
      <c r="BK820" s="173"/>
      <c r="BL820" s="173"/>
      <c r="BM820" s="173"/>
    </row>
    <row r="821" spans="1:65">
      <c r="A821" s="173"/>
      <c r="B821" s="173"/>
      <c r="C821" s="173"/>
      <c r="D821" s="173"/>
      <c r="E821" s="173"/>
      <c r="F821" s="173"/>
      <c r="G821" s="173"/>
      <c r="H821" s="173"/>
      <c r="I821" s="173"/>
      <c r="J821" s="173"/>
      <c r="K821" s="322"/>
      <c r="L821" s="173"/>
      <c r="M821" s="173"/>
      <c r="Q821" s="173"/>
      <c r="R821" s="173"/>
      <c r="S821" s="173"/>
      <c r="T821" s="173"/>
      <c r="U821" s="173"/>
      <c r="V821" s="173"/>
      <c r="W821" s="173"/>
      <c r="X821" s="173"/>
      <c r="Y821" s="173"/>
      <c r="Z821" s="173"/>
      <c r="AA821" s="173"/>
      <c r="AB821" s="173"/>
      <c r="AC821" s="173"/>
      <c r="AD821" s="173"/>
      <c r="AE821" s="173"/>
      <c r="AF821" s="173"/>
      <c r="AG821" s="173"/>
      <c r="AH821" s="173"/>
      <c r="AI821" s="173"/>
      <c r="AJ821" s="173"/>
      <c r="AK821" s="173"/>
      <c r="AL821" s="173"/>
      <c r="AM821" s="173"/>
      <c r="AN821" s="173"/>
      <c r="AO821" s="173"/>
      <c r="AP821" s="173"/>
      <c r="AQ821" s="173"/>
      <c r="AR821" s="173"/>
      <c r="AS821" s="173"/>
      <c r="AT821" s="173"/>
      <c r="AU821" s="173"/>
      <c r="AV821" s="173"/>
      <c r="AW821" s="173"/>
      <c r="AX821" s="173"/>
      <c r="AY821" s="173"/>
      <c r="AZ821" s="173"/>
      <c r="BA821" s="173"/>
      <c r="BB821" s="173"/>
      <c r="BC821" s="173"/>
      <c r="BD821" s="173"/>
      <c r="BE821" s="173"/>
      <c r="BF821" s="173"/>
      <c r="BG821" s="173"/>
      <c r="BH821" s="173"/>
      <c r="BI821" s="173"/>
      <c r="BJ821" s="173"/>
      <c r="BK821" s="173"/>
      <c r="BL821" s="173"/>
      <c r="BM821" s="173"/>
    </row>
    <row r="822" spans="1:65">
      <c r="A822" s="173"/>
      <c r="B822" s="173"/>
      <c r="C822" s="173"/>
      <c r="D822" s="173"/>
      <c r="E822" s="173"/>
      <c r="F822" s="173"/>
      <c r="G822" s="173"/>
      <c r="H822" s="173"/>
      <c r="I822" s="173"/>
      <c r="J822" s="173"/>
      <c r="K822" s="322"/>
      <c r="L822" s="173"/>
      <c r="M822" s="173"/>
      <c r="Q822" s="173"/>
      <c r="R822" s="173"/>
      <c r="S822" s="173"/>
      <c r="T822" s="173"/>
      <c r="U822" s="173"/>
      <c r="V822" s="173"/>
      <c r="W822" s="173"/>
      <c r="X822" s="173"/>
      <c r="Y822" s="173"/>
      <c r="Z822" s="173"/>
      <c r="AA822" s="173"/>
      <c r="AB822" s="173"/>
      <c r="AC822" s="173"/>
      <c r="AD822" s="173"/>
      <c r="AE822" s="173"/>
      <c r="AF822" s="173"/>
      <c r="AG822" s="173"/>
      <c r="AH822" s="173"/>
      <c r="AI822" s="173"/>
      <c r="AJ822" s="173"/>
      <c r="AK822" s="173"/>
      <c r="AL822" s="173"/>
      <c r="AM822" s="173"/>
      <c r="AN822" s="173"/>
      <c r="AO822" s="173"/>
      <c r="AP822" s="173"/>
      <c r="AQ822" s="173"/>
      <c r="AR822" s="173"/>
      <c r="AS822" s="173"/>
      <c r="AT822" s="173"/>
      <c r="AU822" s="173"/>
      <c r="AV822" s="173"/>
      <c r="AW822" s="173"/>
      <c r="AX822" s="173"/>
      <c r="AY822" s="173"/>
      <c r="AZ822" s="173"/>
      <c r="BA822" s="173"/>
      <c r="BB822" s="173"/>
      <c r="BC822" s="173"/>
      <c r="BD822" s="173"/>
      <c r="BE822" s="173"/>
      <c r="BF822" s="173"/>
      <c r="BG822" s="173"/>
      <c r="BH822" s="173"/>
      <c r="BI822" s="173"/>
      <c r="BJ822" s="173"/>
      <c r="BK822" s="173"/>
      <c r="BL822" s="173"/>
      <c r="BM822" s="173"/>
    </row>
    <row r="823" spans="1:65">
      <c r="A823" s="173"/>
      <c r="B823" s="173"/>
      <c r="C823" s="173"/>
      <c r="D823" s="173"/>
      <c r="E823" s="173"/>
      <c r="F823" s="173"/>
      <c r="G823" s="173"/>
      <c r="H823" s="173"/>
      <c r="I823" s="173"/>
      <c r="J823" s="173"/>
      <c r="K823" s="322"/>
      <c r="L823" s="173"/>
      <c r="M823" s="173"/>
      <c r="Q823" s="173"/>
      <c r="R823" s="173"/>
      <c r="S823" s="173"/>
      <c r="T823" s="173"/>
      <c r="U823" s="173"/>
      <c r="V823" s="173"/>
      <c r="W823" s="173"/>
      <c r="X823" s="173"/>
      <c r="Y823" s="173"/>
      <c r="Z823" s="173"/>
      <c r="AA823" s="173"/>
      <c r="AB823" s="173"/>
      <c r="AC823" s="173"/>
      <c r="AD823" s="173"/>
      <c r="AE823" s="173"/>
      <c r="AF823" s="173"/>
      <c r="AG823" s="173"/>
      <c r="AH823" s="173"/>
      <c r="AI823" s="173"/>
      <c r="AJ823" s="173"/>
      <c r="AK823" s="173"/>
      <c r="AL823" s="173"/>
      <c r="AM823" s="173"/>
      <c r="AN823" s="173"/>
      <c r="AO823" s="173"/>
      <c r="AP823" s="173"/>
      <c r="AQ823" s="173"/>
      <c r="AR823" s="173"/>
      <c r="AS823" s="173"/>
      <c r="AT823" s="173"/>
      <c r="AU823" s="173"/>
      <c r="AV823" s="173"/>
      <c r="AW823" s="173"/>
      <c r="AX823" s="173"/>
      <c r="AY823" s="173"/>
      <c r="AZ823" s="173"/>
      <c r="BA823" s="173"/>
      <c r="BB823" s="173"/>
      <c r="BC823" s="173"/>
      <c r="BD823" s="173"/>
      <c r="BE823" s="173"/>
      <c r="BF823" s="173"/>
      <c r="BG823" s="173"/>
      <c r="BH823" s="173"/>
      <c r="BI823" s="173"/>
      <c r="BJ823" s="173"/>
      <c r="BK823" s="173"/>
      <c r="BL823" s="173"/>
      <c r="BM823" s="173"/>
    </row>
    <row r="824" spans="1:65">
      <c r="A824" s="173"/>
      <c r="B824" s="173"/>
      <c r="C824" s="173"/>
      <c r="D824" s="173"/>
      <c r="E824" s="173"/>
      <c r="F824" s="173"/>
      <c r="G824" s="173"/>
      <c r="H824" s="173"/>
      <c r="I824" s="173"/>
      <c r="J824" s="173"/>
      <c r="K824" s="322"/>
      <c r="L824" s="173"/>
      <c r="M824" s="173"/>
      <c r="Q824" s="173"/>
      <c r="R824" s="173"/>
      <c r="S824" s="173"/>
      <c r="T824" s="173"/>
      <c r="U824" s="173"/>
      <c r="V824" s="173"/>
      <c r="W824" s="173"/>
      <c r="X824" s="173"/>
      <c r="Y824" s="173"/>
      <c r="Z824" s="173"/>
      <c r="AA824" s="173"/>
      <c r="AB824" s="173"/>
      <c r="AC824" s="173"/>
      <c r="AD824" s="173"/>
      <c r="AE824" s="173"/>
      <c r="AF824" s="173"/>
      <c r="AG824" s="173"/>
      <c r="AH824" s="173"/>
      <c r="AI824" s="173"/>
      <c r="AJ824" s="173"/>
      <c r="AK824" s="173"/>
      <c r="AL824" s="173"/>
      <c r="AM824" s="173"/>
      <c r="AN824" s="173"/>
      <c r="AO824" s="173"/>
      <c r="AP824" s="173"/>
      <c r="AQ824" s="173"/>
      <c r="AR824" s="173"/>
      <c r="AS824" s="173"/>
      <c r="AT824" s="173"/>
      <c r="AU824" s="173"/>
      <c r="AV824" s="173"/>
      <c r="AW824" s="173"/>
      <c r="AX824" s="173"/>
      <c r="AY824" s="173"/>
      <c r="AZ824" s="173"/>
      <c r="BA824" s="173"/>
      <c r="BB824" s="173"/>
      <c r="BC824" s="173"/>
      <c r="BD824" s="173"/>
      <c r="BE824" s="173"/>
      <c r="BF824" s="173"/>
      <c r="BG824" s="173"/>
      <c r="BH824" s="173"/>
      <c r="BI824" s="173"/>
      <c r="BJ824" s="173"/>
      <c r="BK824" s="173"/>
      <c r="BL824" s="173"/>
      <c r="BM824" s="173"/>
    </row>
    <row r="825" spans="1:65">
      <c r="A825" s="173"/>
      <c r="B825" s="173"/>
      <c r="C825" s="173"/>
      <c r="D825" s="173"/>
      <c r="E825" s="173"/>
      <c r="F825" s="173"/>
      <c r="G825" s="173"/>
      <c r="H825" s="173"/>
      <c r="I825" s="173"/>
      <c r="J825" s="173"/>
      <c r="K825" s="322"/>
      <c r="L825" s="173"/>
      <c r="M825" s="173"/>
      <c r="Q825" s="173"/>
      <c r="R825" s="173"/>
      <c r="S825" s="173"/>
      <c r="T825" s="173"/>
      <c r="U825" s="173"/>
      <c r="V825" s="173"/>
      <c r="W825" s="173"/>
      <c r="X825" s="173"/>
      <c r="Y825" s="173"/>
      <c r="Z825" s="173"/>
      <c r="AA825" s="173"/>
      <c r="AB825" s="173"/>
      <c r="AC825" s="173"/>
      <c r="AD825" s="173"/>
      <c r="AE825" s="173"/>
      <c r="AF825" s="173"/>
      <c r="AG825" s="173"/>
      <c r="AH825" s="173"/>
      <c r="AI825" s="173"/>
      <c r="AJ825" s="173"/>
      <c r="AK825" s="173"/>
      <c r="AL825" s="173"/>
      <c r="AM825" s="173"/>
      <c r="AN825" s="173"/>
      <c r="AO825" s="173"/>
      <c r="AP825" s="173"/>
      <c r="AQ825" s="173"/>
      <c r="AR825" s="173"/>
      <c r="AS825" s="173"/>
      <c r="AT825" s="173"/>
      <c r="AU825" s="173"/>
      <c r="AV825" s="173"/>
      <c r="AW825" s="173"/>
      <c r="AX825" s="173"/>
      <c r="AY825" s="173"/>
      <c r="AZ825" s="173"/>
      <c r="BA825" s="173"/>
      <c r="BB825" s="173"/>
      <c r="BC825" s="173"/>
      <c r="BD825" s="173"/>
      <c r="BE825" s="173"/>
      <c r="BF825" s="173"/>
      <c r="BG825" s="173"/>
      <c r="BH825" s="173"/>
      <c r="BI825" s="173"/>
      <c r="BJ825" s="173"/>
      <c r="BK825" s="173"/>
      <c r="BL825" s="173"/>
      <c r="BM825" s="173"/>
    </row>
    <row r="826" spans="1:65">
      <c r="A826" s="173"/>
      <c r="B826" s="173"/>
      <c r="C826" s="173"/>
      <c r="D826" s="173"/>
      <c r="E826" s="173"/>
      <c r="F826" s="173"/>
      <c r="G826" s="173"/>
      <c r="H826" s="173"/>
      <c r="I826" s="173"/>
      <c r="J826" s="173"/>
      <c r="K826" s="322"/>
      <c r="L826" s="173"/>
      <c r="M826" s="173"/>
      <c r="Q826" s="173"/>
      <c r="R826" s="173"/>
      <c r="S826" s="173"/>
      <c r="T826" s="173"/>
      <c r="U826" s="173"/>
      <c r="V826" s="173"/>
      <c r="W826" s="173"/>
      <c r="X826" s="173"/>
      <c r="Y826" s="173"/>
      <c r="Z826" s="173"/>
      <c r="AA826" s="173"/>
      <c r="AB826" s="173"/>
      <c r="AC826" s="173"/>
      <c r="AD826" s="173"/>
      <c r="AE826" s="173"/>
      <c r="AF826" s="173"/>
      <c r="AG826" s="173"/>
      <c r="AH826" s="173"/>
      <c r="AI826" s="173"/>
      <c r="AJ826" s="173"/>
      <c r="AK826" s="173"/>
      <c r="AL826" s="173"/>
      <c r="AM826" s="173"/>
      <c r="AN826" s="173"/>
      <c r="AO826" s="173"/>
      <c r="AP826" s="173"/>
      <c r="AQ826" s="173"/>
      <c r="AR826" s="173"/>
      <c r="AS826" s="173"/>
      <c r="AT826" s="173"/>
      <c r="AU826" s="173"/>
      <c r="AV826" s="173"/>
      <c r="AW826" s="173"/>
      <c r="AX826" s="173"/>
      <c r="AY826" s="173"/>
      <c r="AZ826" s="173"/>
      <c r="BA826" s="173"/>
      <c r="BB826" s="173"/>
      <c r="BC826" s="173"/>
      <c r="BD826" s="173"/>
      <c r="BE826" s="173"/>
      <c r="BF826" s="173"/>
      <c r="BG826" s="173"/>
      <c r="BH826" s="173"/>
      <c r="BI826" s="173"/>
      <c r="BJ826" s="173"/>
      <c r="BK826" s="173"/>
      <c r="BL826" s="173"/>
      <c r="BM826" s="173"/>
    </row>
    <row r="827" spans="1:65">
      <c r="A827" s="173"/>
      <c r="B827" s="173"/>
      <c r="C827" s="173"/>
      <c r="D827" s="173"/>
      <c r="E827" s="173"/>
      <c r="F827" s="173"/>
      <c r="G827" s="173"/>
      <c r="H827" s="173"/>
      <c r="I827" s="173"/>
      <c r="J827" s="173"/>
      <c r="K827" s="322"/>
      <c r="L827" s="173"/>
      <c r="M827" s="173"/>
      <c r="Q827" s="173"/>
      <c r="R827" s="173"/>
      <c r="S827" s="173"/>
      <c r="T827" s="173"/>
      <c r="U827" s="173"/>
      <c r="V827" s="173"/>
      <c r="W827" s="173"/>
      <c r="X827" s="173"/>
      <c r="Y827" s="173"/>
      <c r="Z827" s="173"/>
      <c r="AA827" s="173"/>
      <c r="AB827" s="173"/>
      <c r="AC827" s="173"/>
      <c r="AD827" s="173"/>
      <c r="AE827" s="173"/>
      <c r="AF827" s="173"/>
      <c r="AG827" s="173"/>
      <c r="AH827" s="173"/>
      <c r="AI827" s="173"/>
      <c r="AJ827" s="173"/>
      <c r="AK827" s="173"/>
      <c r="AL827" s="173"/>
      <c r="AM827" s="173"/>
      <c r="AN827" s="173"/>
      <c r="AO827" s="173"/>
      <c r="AP827" s="173"/>
      <c r="AQ827" s="173"/>
      <c r="AR827" s="173"/>
      <c r="AS827" s="173"/>
      <c r="AT827" s="173"/>
      <c r="AU827" s="173"/>
      <c r="AV827" s="173"/>
      <c r="AW827" s="173"/>
      <c r="AX827" s="173"/>
      <c r="AY827" s="173"/>
      <c r="AZ827" s="173"/>
      <c r="BA827" s="173"/>
      <c r="BB827" s="173"/>
      <c r="BC827" s="173"/>
      <c r="BD827" s="173"/>
      <c r="BE827" s="173"/>
      <c r="BF827" s="173"/>
      <c r="BG827" s="173"/>
      <c r="BH827" s="173"/>
      <c r="BI827" s="173"/>
      <c r="BJ827" s="173"/>
      <c r="BK827" s="173"/>
      <c r="BL827" s="173"/>
      <c r="BM827" s="173"/>
    </row>
    <row r="828" spans="1:65">
      <c r="A828" s="173"/>
      <c r="B828" s="173"/>
      <c r="C828" s="173"/>
      <c r="D828" s="173"/>
      <c r="E828" s="173"/>
      <c r="F828" s="173"/>
      <c r="G828" s="173"/>
      <c r="H828" s="173"/>
      <c r="I828" s="173"/>
      <c r="J828" s="173"/>
      <c r="K828" s="322"/>
      <c r="L828" s="173"/>
      <c r="M828" s="173"/>
      <c r="Q828" s="173"/>
      <c r="R828" s="173"/>
      <c r="S828" s="173"/>
      <c r="T828" s="173"/>
      <c r="U828" s="173"/>
      <c r="V828" s="173"/>
      <c r="W828" s="173"/>
      <c r="X828" s="173"/>
      <c r="Y828" s="173"/>
      <c r="Z828" s="173"/>
      <c r="AA828" s="173"/>
      <c r="AB828" s="173"/>
      <c r="AC828" s="173"/>
      <c r="AD828" s="173"/>
      <c r="AE828" s="173"/>
      <c r="AF828" s="173"/>
      <c r="AG828" s="173"/>
      <c r="AH828" s="173"/>
      <c r="AI828" s="173"/>
      <c r="AJ828" s="173"/>
      <c r="AK828" s="173"/>
      <c r="AL828" s="173"/>
      <c r="AM828" s="173"/>
      <c r="AN828" s="173"/>
      <c r="AO828" s="173"/>
      <c r="AP828" s="173"/>
      <c r="AQ828" s="173"/>
      <c r="AR828" s="173"/>
      <c r="AS828" s="173"/>
      <c r="AT828" s="173"/>
      <c r="AU828" s="173"/>
      <c r="AV828" s="173"/>
      <c r="AW828" s="173"/>
      <c r="AX828" s="173"/>
      <c r="AY828" s="173"/>
      <c r="AZ828" s="173"/>
      <c r="BA828" s="173"/>
      <c r="BB828" s="173"/>
      <c r="BC828" s="173"/>
      <c r="BD828" s="173"/>
      <c r="BE828" s="173"/>
      <c r="BF828" s="173"/>
      <c r="BG828" s="173"/>
      <c r="BH828" s="173"/>
      <c r="BI828" s="173"/>
      <c r="BJ828" s="173"/>
      <c r="BK828" s="173"/>
      <c r="BL828" s="173"/>
      <c r="BM828" s="173"/>
    </row>
    <row r="829" spans="1:65">
      <c r="A829" s="173"/>
      <c r="B829" s="173"/>
      <c r="C829" s="173"/>
      <c r="D829" s="173"/>
      <c r="E829" s="173"/>
      <c r="F829" s="173"/>
      <c r="G829" s="173"/>
      <c r="H829" s="173"/>
      <c r="I829" s="173"/>
      <c r="J829" s="173"/>
      <c r="K829" s="322"/>
      <c r="L829" s="173"/>
      <c r="M829" s="173"/>
      <c r="Q829" s="173"/>
      <c r="R829" s="173"/>
      <c r="S829" s="173"/>
      <c r="T829" s="173"/>
      <c r="U829" s="173"/>
      <c r="V829" s="173"/>
      <c r="W829" s="173"/>
      <c r="X829" s="173"/>
      <c r="Y829" s="173"/>
      <c r="Z829" s="173"/>
      <c r="AA829" s="173"/>
      <c r="AB829" s="173"/>
      <c r="AC829" s="173"/>
      <c r="AD829" s="173"/>
      <c r="AE829" s="173"/>
      <c r="AF829" s="173"/>
      <c r="AG829" s="173"/>
      <c r="AH829" s="173"/>
      <c r="AI829" s="173"/>
      <c r="AJ829" s="173"/>
      <c r="AK829" s="173"/>
      <c r="AL829" s="173"/>
      <c r="AM829" s="173"/>
      <c r="AN829" s="173"/>
      <c r="AO829" s="173"/>
      <c r="AP829" s="173"/>
      <c r="AQ829" s="173"/>
      <c r="AR829" s="173"/>
      <c r="AS829" s="173"/>
      <c r="AT829" s="173"/>
      <c r="AU829" s="173"/>
      <c r="AV829" s="173"/>
      <c r="AW829" s="173"/>
      <c r="AX829" s="173"/>
      <c r="AY829" s="173"/>
      <c r="AZ829" s="173"/>
      <c r="BA829" s="173"/>
      <c r="BB829" s="173"/>
      <c r="BC829" s="173"/>
      <c r="BD829" s="173"/>
      <c r="BE829" s="173"/>
      <c r="BF829" s="173"/>
      <c r="BG829" s="173"/>
      <c r="BH829" s="173"/>
      <c r="BI829" s="173"/>
      <c r="BJ829" s="173"/>
      <c r="BK829" s="173"/>
      <c r="BL829" s="173"/>
      <c r="BM829" s="173"/>
    </row>
    <row r="830" spans="1:65">
      <c r="A830" s="173"/>
      <c r="B830" s="173"/>
      <c r="C830" s="173"/>
      <c r="D830" s="173"/>
      <c r="E830" s="173"/>
      <c r="F830" s="173"/>
      <c r="G830" s="173"/>
      <c r="H830" s="173"/>
      <c r="I830" s="173"/>
      <c r="J830" s="173"/>
      <c r="K830" s="322"/>
      <c r="L830" s="173"/>
      <c r="M830" s="173"/>
      <c r="Q830" s="173"/>
      <c r="R830" s="173"/>
      <c r="S830" s="173"/>
      <c r="T830" s="173"/>
      <c r="U830" s="173"/>
      <c r="V830" s="173"/>
      <c r="W830" s="173"/>
      <c r="X830" s="173"/>
      <c r="Y830" s="173"/>
      <c r="Z830" s="173"/>
      <c r="AA830" s="173"/>
      <c r="AB830" s="173"/>
      <c r="AC830" s="173"/>
      <c r="AD830" s="173"/>
      <c r="AE830" s="173"/>
      <c r="AF830" s="173"/>
      <c r="AG830" s="173"/>
      <c r="AH830" s="173"/>
      <c r="AI830" s="173"/>
      <c r="AJ830" s="173"/>
      <c r="AK830" s="173"/>
      <c r="AL830" s="173"/>
      <c r="AM830" s="173"/>
      <c r="AN830" s="173"/>
      <c r="AO830" s="173"/>
      <c r="AP830" s="173"/>
      <c r="AQ830" s="173"/>
      <c r="AR830" s="173"/>
      <c r="AS830" s="173"/>
      <c r="AT830" s="173"/>
      <c r="AU830" s="173"/>
      <c r="AV830" s="173"/>
      <c r="AW830" s="173"/>
      <c r="AX830" s="173"/>
      <c r="AY830" s="173"/>
      <c r="AZ830" s="173"/>
      <c r="BA830" s="173"/>
      <c r="BB830" s="173"/>
      <c r="BC830" s="173"/>
      <c r="BD830" s="173"/>
      <c r="BE830" s="173"/>
      <c r="BF830" s="173"/>
      <c r="BG830" s="173"/>
      <c r="BH830" s="173"/>
      <c r="BI830" s="173"/>
      <c r="BJ830" s="173"/>
      <c r="BK830" s="173"/>
      <c r="BL830" s="173"/>
      <c r="BM830" s="173"/>
    </row>
    <row r="831" spans="1:65">
      <c r="A831" s="173"/>
      <c r="B831" s="173"/>
      <c r="C831" s="173"/>
      <c r="D831" s="173"/>
      <c r="E831" s="173"/>
      <c r="F831" s="173"/>
      <c r="G831" s="173"/>
      <c r="H831" s="173"/>
      <c r="I831" s="173"/>
      <c r="J831" s="173"/>
      <c r="K831" s="322"/>
      <c r="L831" s="173"/>
      <c r="M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173"/>
      <c r="AL831" s="173"/>
      <c r="AM831" s="173"/>
      <c r="AN831" s="173"/>
      <c r="AO831" s="173"/>
      <c r="AP831" s="173"/>
      <c r="AQ831" s="173"/>
      <c r="AR831" s="173"/>
      <c r="AS831" s="173"/>
      <c r="AT831" s="173"/>
      <c r="AU831" s="173"/>
      <c r="AV831" s="173"/>
      <c r="AW831" s="173"/>
      <c r="AX831" s="173"/>
      <c r="AY831" s="173"/>
      <c r="AZ831" s="173"/>
      <c r="BA831" s="173"/>
      <c r="BB831" s="173"/>
      <c r="BC831" s="173"/>
      <c r="BD831" s="173"/>
      <c r="BE831" s="173"/>
      <c r="BF831" s="173"/>
      <c r="BG831" s="173"/>
      <c r="BH831" s="173"/>
      <c r="BI831" s="173"/>
      <c r="BJ831" s="173"/>
      <c r="BK831" s="173"/>
      <c r="BL831" s="173"/>
      <c r="BM831" s="173"/>
    </row>
    <row r="832" spans="1:65">
      <c r="A832" s="173"/>
      <c r="B832" s="173"/>
      <c r="C832" s="173"/>
      <c r="D832" s="173"/>
      <c r="E832" s="173"/>
      <c r="F832" s="173"/>
      <c r="G832" s="173"/>
      <c r="H832" s="173"/>
      <c r="I832" s="173"/>
      <c r="J832" s="173"/>
      <c r="K832" s="322"/>
      <c r="L832" s="173"/>
      <c r="M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173"/>
      <c r="AL832" s="173"/>
      <c r="AM832" s="173"/>
      <c r="AN832" s="173"/>
      <c r="AO832" s="173"/>
      <c r="AP832" s="173"/>
      <c r="AQ832" s="173"/>
      <c r="AR832" s="173"/>
      <c r="AS832" s="173"/>
      <c r="AT832" s="173"/>
      <c r="AU832" s="173"/>
      <c r="AV832" s="173"/>
      <c r="AW832" s="173"/>
      <c r="AX832" s="173"/>
      <c r="AY832" s="173"/>
      <c r="AZ832" s="173"/>
      <c r="BA832" s="173"/>
      <c r="BB832" s="173"/>
      <c r="BC832" s="173"/>
      <c r="BD832" s="173"/>
      <c r="BE832" s="173"/>
      <c r="BF832" s="173"/>
      <c r="BG832" s="173"/>
      <c r="BH832" s="173"/>
      <c r="BI832" s="173"/>
      <c r="BJ832" s="173"/>
      <c r="BK832" s="173"/>
      <c r="BL832" s="173"/>
      <c r="BM832" s="173"/>
    </row>
    <row r="833" spans="1:65">
      <c r="A833" s="173"/>
      <c r="B833" s="173"/>
      <c r="C833" s="173"/>
      <c r="D833" s="173"/>
      <c r="E833" s="173"/>
      <c r="F833" s="173"/>
      <c r="G833" s="173"/>
      <c r="H833" s="173"/>
      <c r="I833" s="173"/>
      <c r="J833" s="173"/>
      <c r="K833" s="322"/>
      <c r="L833" s="173"/>
      <c r="M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173"/>
      <c r="AL833" s="173"/>
      <c r="AM833" s="173"/>
      <c r="AN833" s="173"/>
      <c r="AO833" s="173"/>
      <c r="AP833" s="173"/>
      <c r="AQ833" s="173"/>
      <c r="AR833" s="173"/>
      <c r="AS833" s="173"/>
      <c r="AT833" s="173"/>
      <c r="AU833" s="173"/>
      <c r="AV833" s="173"/>
      <c r="AW833" s="173"/>
      <c r="AX833" s="173"/>
      <c r="AY833" s="173"/>
      <c r="AZ833" s="173"/>
      <c r="BA833" s="173"/>
      <c r="BB833" s="173"/>
      <c r="BC833" s="173"/>
      <c r="BD833" s="173"/>
      <c r="BE833" s="173"/>
      <c r="BF833" s="173"/>
      <c r="BG833" s="173"/>
      <c r="BH833" s="173"/>
      <c r="BI833" s="173"/>
      <c r="BJ833" s="173"/>
      <c r="BK833" s="173"/>
      <c r="BL833" s="173"/>
      <c r="BM833" s="173"/>
    </row>
    <row r="834" spans="1:65">
      <c r="A834" s="173"/>
      <c r="B834" s="173"/>
      <c r="C834" s="173"/>
      <c r="D834" s="173"/>
      <c r="E834" s="173"/>
      <c r="F834" s="173"/>
      <c r="G834" s="173"/>
      <c r="H834" s="173"/>
      <c r="I834" s="173"/>
      <c r="J834" s="173"/>
      <c r="K834" s="322"/>
      <c r="L834" s="173"/>
      <c r="M834" s="173"/>
      <c r="Q834" s="173"/>
      <c r="R834" s="173"/>
      <c r="S834" s="173"/>
      <c r="T834" s="173"/>
      <c r="U834" s="173"/>
      <c r="V834" s="173"/>
      <c r="W834" s="173"/>
      <c r="X834" s="173"/>
      <c r="Y834" s="173"/>
      <c r="Z834" s="173"/>
      <c r="AA834" s="173"/>
      <c r="AB834" s="173"/>
      <c r="AC834" s="173"/>
      <c r="AD834" s="173"/>
      <c r="AE834" s="173"/>
      <c r="AF834" s="173"/>
      <c r="AG834" s="173"/>
      <c r="AH834" s="173"/>
      <c r="AI834" s="173"/>
      <c r="AJ834" s="173"/>
      <c r="AK834" s="173"/>
      <c r="AL834" s="173"/>
      <c r="AM834" s="173"/>
      <c r="AN834" s="173"/>
      <c r="AO834" s="173"/>
      <c r="AP834" s="173"/>
      <c r="AQ834" s="173"/>
      <c r="AR834" s="173"/>
      <c r="AS834" s="173"/>
      <c r="AT834" s="173"/>
      <c r="AU834" s="173"/>
      <c r="AV834" s="173"/>
      <c r="AW834" s="173"/>
      <c r="AX834" s="173"/>
      <c r="AY834" s="173"/>
      <c r="AZ834" s="173"/>
      <c r="BA834" s="173"/>
      <c r="BB834" s="173"/>
      <c r="BC834" s="173"/>
      <c r="BD834" s="173"/>
      <c r="BE834" s="173"/>
      <c r="BF834" s="173"/>
      <c r="BG834" s="173"/>
      <c r="BH834" s="173"/>
      <c r="BI834" s="173"/>
      <c r="BJ834" s="173"/>
      <c r="BK834" s="173"/>
      <c r="BL834" s="173"/>
      <c r="BM834" s="173"/>
    </row>
    <row r="835" spans="1:65">
      <c r="A835" s="173"/>
      <c r="B835" s="173"/>
      <c r="C835" s="173"/>
      <c r="D835" s="173"/>
      <c r="E835" s="173"/>
      <c r="F835" s="173"/>
      <c r="G835" s="173"/>
      <c r="H835" s="173"/>
      <c r="I835" s="173"/>
      <c r="J835" s="173"/>
      <c r="K835" s="322"/>
      <c r="L835" s="173"/>
      <c r="M835" s="173"/>
      <c r="Q835" s="173"/>
      <c r="R835" s="173"/>
      <c r="S835" s="173"/>
      <c r="T835" s="173"/>
      <c r="U835" s="173"/>
      <c r="V835" s="173"/>
      <c r="W835" s="173"/>
      <c r="X835" s="173"/>
      <c r="Y835" s="173"/>
      <c r="Z835" s="173"/>
      <c r="AA835" s="173"/>
      <c r="AB835" s="173"/>
      <c r="AC835" s="173"/>
      <c r="AD835" s="173"/>
      <c r="AE835" s="173"/>
      <c r="AF835" s="173"/>
      <c r="AG835" s="173"/>
      <c r="AH835" s="173"/>
      <c r="AI835" s="173"/>
      <c r="AJ835" s="173"/>
      <c r="AK835" s="173"/>
      <c r="AL835" s="173"/>
      <c r="AM835" s="173"/>
      <c r="AN835" s="173"/>
      <c r="AO835" s="173"/>
      <c r="AP835" s="173"/>
      <c r="AQ835" s="173"/>
      <c r="AR835" s="173"/>
      <c r="AS835" s="173"/>
      <c r="AT835" s="173"/>
      <c r="AU835" s="173"/>
      <c r="AV835" s="173"/>
      <c r="AW835" s="173"/>
      <c r="AX835" s="173"/>
      <c r="AY835" s="173"/>
      <c r="AZ835" s="173"/>
      <c r="BA835" s="173"/>
      <c r="BB835" s="173"/>
      <c r="BC835" s="173"/>
      <c r="BD835" s="173"/>
      <c r="BE835" s="173"/>
      <c r="BF835" s="173"/>
      <c r="BG835" s="173"/>
      <c r="BH835" s="173"/>
      <c r="BI835" s="173"/>
      <c r="BJ835" s="173"/>
      <c r="BK835" s="173"/>
      <c r="BL835" s="173"/>
      <c r="BM835" s="173"/>
    </row>
    <row r="836" spans="1:65">
      <c r="A836" s="173"/>
      <c r="B836" s="173"/>
      <c r="C836" s="173"/>
      <c r="D836" s="173"/>
      <c r="E836" s="173"/>
      <c r="F836" s="173"/>
      <c r="G836" s="173"/>
      <c r="H836" s="173"/>
      <c r="I836" s="173"/>
      <c r="J836" s="173"/>
      <c r="K836" s="322"/>
      <c r="L836" s="173"/>
      <c r="M836" s="173"/>
      <c r="Q836" s="173"/>
      <c r="R836" s="173"/>
      <c r="S836" s="173"/>
      <c r="T836" s="173"/>
      <c r="U836" s="173"/>
      <c r="V836" s="173"/>
      <c r="W836" s="173"/>
      <c r="X836" s="173"/>
      <c r="Y836" s="173"/>
      <c r="Z836" s="173"/>
      <c r="AA836" s="173"/>
      <c r="AB836" s="173"/>
      <c r="AC836" s="173"/>
      <c r="AD836" s="173"/>
      <c r="AE836" s="173"/>
      <c r="AF836" s="173"/>
      <c r="AG836" s="173"/>
      <c r="AH836" s="173"/>
      <c r="AI836" s="173"/>
      <c r="AJ836" s="173"/>
      <c r="AK836" s="173"/>
      <c r="AL836" s="173"/>
      <c r="AM836" s="173"/>
      <c r="AN836" s="173"/>
      <c r="AO836" s="173"/>
      <c r="AP836" s="173"/>
      <c r="AQ836" s="173"/>
      <c r="AR836" s="173"/>
      <c r="AS836" s="173"/>
      <c r="AT836" s="173"/>
      <c r="AU836" s="173"/>
      <c r="AV836" s="173"/>
      <c r="AW836" s="173"/>
      <c r="AX836" s="173"/>
      <c r="AY836" s="173"/>
      <c r="AZ836" s="173"/>
      <c r="BA836" s="173"/>
      <c r="BB836" s="173"/>
      <c r="BC836" s="173"/>
      <c r="BD836" s="173"/>
      <c r="BE836" s="173"/>
      <c r="BF836" s="173"/>
      <c r="BG836" s="173"/>
      <c r="BH836" s="173"/>
      <c r="BI836" s="173"/>
      <c r="BJ836" s="173"/>
      <c r="BK836" s="173"/>
      <c r="BL836" s="173"/>
      <c r="BM836" s="173"/>
    </row>
    <row r="837" spans="1:65">
      <c r="A837" s="173"/>
      <c r="B837" s="173"/>
      <c r="C837" s="173"/>
      <c r="D837" s="173"/>
      <c r="E837" s="173"/>
      <c r="F837" s="173"/>
      <c r="G837" s="173"/>
      <c r="H837" s="173"/>
      <c r="I837" s="173"/>
      <c r="J837" s="173"/>
      <c r="K837" s="322"/>
      <c r="L837" s="173"/>
      <c r="M837" s="173"/>
      <c r="Q837" s="173"/>
      <c r="R837" s="173"/>
      <c r="S837" s="173"/>
      <c r="T837" s="173"/>
      <c r="U837" s="173"/>
      <c r="V837" s="173"/>
      <c r="W837" s="173"/>
      <c r="X837" s="173"/>
      <c r="Y837" s="173"/>
      <c r="Z837" s="173"/>
      <c r="AA837" s="173"/>
      <c r="AB837" s="173"/>
      <c r="AC837" s="173"/>
      <c r="AD837" s="173"/>
      <c r="AE837" s="173"/>
      <c r="AF837" s="173"/>
      <c r="AG837" s="173"/>
      <c r="AH837" s="173"/>
      <c r="AI837" s="173"/>
      <c r="AJ837" s="173"/>
      <c r="AK837" s="173"/>
      <c r="AL837" s="173"/>
      <c r="AM837" s="173"/>
      <c r="AN837" s="173"/>
      <c r="AO837" s="173"/>
      <c r="AP837" s="173"/>
      <c r="AQ837" s="173"/>
      <c r="AR837" s="173"/>
      <c r="AS837" s="173"/>
      <c r="AT837" s="173"/>
      <c r="AU837" s="173"/>
      <c r="AV837" s="173"/>
      <c r="AW837" s="173"/>
      <c r="AX837" s="173"/>
      <c r="AY837" s="173"/>
      <c r="AZ837" s="173"/>
      <c r="BA837" s="173"/>
      <c r="BB837" s="173"/>
      <c r="BC837" s="173"/>
      <c r="BD837" s="173"/>
      <c r="BE837" s="173"/>
      <c r="BF837" s="173"/>
      <c r="BG837" s="173"/>
      <c r="BH837" s="173"/>
      <c r="BI837" s="173"/>
      <c r="BJ837" s="173"/>
      <c r="BK837" s="173"/>
      <c r="BL837" s="173"/>
      <c r="BM837" s="173"/>
    </row>
    <row r="838" spans="1:65">
      <c r="A838" s="173"/>
      <c r="B838" s="173"/>
      <c r="C838" s="173"/>
      <c r="D838" s="173"/>
      <c r="E838" s="173"/>
      <c r="F838" s="173"/>
      <c r="G838" s="173"/>
      <c r="H838" s="173"/>
      <c r="I838" s="173"/>
      <c r="J838" s="173"/>
      <c r="K838" s="322"/>
      <c r="L838" s="173"/>
      <c r="M838" s="173"/>
      <c r="Q838" s="173"/>
      <c r="R838" s="173"/>
      <c r="S838" s="173"/>
      <c r="T838" s="173"/>
      <c r="U838" s="173"/>
      <c r="V838" s="173"/>
      <c r="W838" s="173"/>
      <c r="X838" s="173"/>
      <c r="Y838" s="173"/>
      <c r="Z838" s="173"/>
      <c r="AA838" s="173"/>
      <c r="AB838" s="173"/>
      <c r="AC838" s="173"/>
      <c r="AD838" s="173"/>
      <c r="AE838" s="173"/>
      <c r="AF838" s="173"/>
      <c r="AG838" s="173"/>
      <c r="AH838" s="173"/>
      <c r="AI838" s="173"/>
      <c r="AJ838" s="173"/>
      <c r="AK838" s="173"/>
      <c r="AL838" s="173"/>
      <c r="AM838" s="173"/>
      <c r="AN838" s="173"/>
      <c r="AO838" s="173"/>
      <c r="AP838" s="173"/>
      <c r="AQ838" s="173"/>
      <c r="AR838" s="173"/>
      <c r="AS838" s="173"/>
      <c r="AT838" s="173"/>
      <c r="AU838" s="173"/>
      <c r="AV838" s="173"/>
      <c r="AW838" s="173"/>
      <c r="AX838" s="173"/>
      <c r="AY838" s="173"/>
      <c r="AZ838" s="173"/>
      <c r="BA838" s="173"/>
      <c r="BB838" s="173"/>
      <c r="BC838" s="173"/>
      <c r="BD838" s="173"/>
      <c r="BE838" s="173"/>
      <c r="BF838" s="173"/>
      <c r="BG838" s="173"/>
      <c r="BH838" s="173"/>
      <c r="BI838" s="173"/>
      <c r="BJ838" s="173"/>
      <c r="BK838" s="173"/>
      <c r="BL838" s="173"/>
      <c r="BM838" s="173"/>
    </row>
    <row r="839" spans="1:65">
      <c r="A839" s="173"/>
      <c r="B839" s="173"/>
      <c r="C839" s="173"/>
      <c r="D839" s="173"/>
      <c r="E839" s="173"/>
      <c r="F839" s="173"/>
      <c r="G839" s="173"/>
      <c r="H839" s="173"/>
      <c r="I839" s="173"/>
      <c r="J839" s="173"/>
      <c r="K839" s="322"/>
      <c r="L839" s="173"/>
      <c r="M839" s="173"/>
      <c r="Q839" s="173"/>
      <c r="R839" s="173"/>
      <c r="S839" s="173"/>
      <c r="T839" s="173"/>
      <c r="U839" s="173"/>
      <c r="V839" s="173"/>
      <c r="W839" s="173"/>
      <c r="X839" s="173"/>
      <c r="Y839" s="173"/>
      <c r="Z839" s="173"/>
      <c r="AA839" s="173"/>
      <c r="AB839" s="173"/>
      <c r="AC839" s="173"/>
      <c r="AD839" s="173"/>
      <c r="AE839" s="173"/>
      <c r="AF839" s="173"/>
      <c r="AG839" s="173"/>
      <c r="AH839" s="173"/>
      <c r="AI839" s="173"/>
      <c r="AJ839" s="173"/>
      <c r="AK839" s="173"/>
      <c r="AL839" s="173"/>
      <c r="AM839" s="173"/>
      <c r="AN839" s="173"/>
      <c r="AO839" s="173"/>
      <c r="AP839" s="173"/>
      <c r="AQ839" s="173"/>
      <c r="AR839" s="173"/>
      <c r="AS839" s="173"/>
      <c r="AT839" s="173"/>
      <c r="AU839" s="173"/>
      <c r="AV839" s="173"/>
      <c r="AW839" s="173"/>
      <c r="AX839" s="173"/>
      <c r="AY839" s="173"/>
      <c r="AZ839" s="173"/>
      <c r="BA839" s="173"/>
      <c r="BB839" s="173"/>
      <c r="BC839" s="173"/>
      <c r="BD839" s="173"/>
      <c r="BE839" s="173"/>
      <c r="BF839" s="173"/>
      <c r="BG839" s="173"/>
      <c r="BH839" s="173"/>
      <c r="BI839" s="173"/>
      <c r="BJ839" s="173"/>
      <c r="BK839" s="173"/>
      <c r="BL839" s="173"/>
      <c r="BM839" s="173"/>
    </row>
    <row r="840" spans="1:65">
      <c r="A840" s="173"/>
      <c r="B840" s="173"/>
      <c r="C840" s="173"/>
      <c r="D840" s="173"/>
      <c r="E840" s="173"/>
      <c r="F840" s="173"/>
      <c r="G840" s="173"/>
      <c r="H840" s="173"/>
      <c r="I840" s="173"/>
      <c r="J840" s="173"/>
      <c r="K840" s="322"/>
      <c r="L840" s="173"/>
      <c r="M840" s="173"/>
      <c r="Q840" s="173"/>
      <c r="R840" s="173"/>
      <c r="S840" s="173"/>
      <c r="T840" s="173"/>
      <c r="U840" s="173"/>
      <c r="V840" s="173"/>
      <c r="W840" s="173"/>
      <c r="X840" s="173"/>
      <c r="Y840" s="173"/>
      <c r="Z840" s="173"/>
      <c r="AA840" s="173"/>
      <c r="AB840" s="173"/>
      <c r="AC840" s="173"/>
      <c r="AD840" s="173"/>
      <c r="AE840" s="173"/>
      <c r="AF840" s="173"/>
      <c r="AG840" s="173"/>
      <c r="AH840" s="173"/>
      <c r="AI840" s="173"/>
      <c r="AJ840" s="173"/>
      <c r="AK840" s="173"/>
      <c r="AL840" s="173"/>
      <c r="AM840" s="173"/>
      <c r="AN840" s="173"/>
      <c r="AO840" s="173"/>
      <c r="AP840" s="173"/>
      <c r="AQ840" s="173"/>
      <c r="AR840" s="173"/>
      <c r="AS840" s="173"/>
      <c r="AT840" s="173"/>
      <c r="AU840" s="173"/>
      <c r="AV840" s="173"/>
      <c r="AW840" s="173"/>
      <c r="AX840" s="173"/>
      <c r="AY840" s="173"/>
      <c r="AZ840" s="173"/>
      <c r="BA840" s="173"/>
      <c r="BB840" s="173"/>
      <c r="BC840" s="173"/>
      <c r="BD840" s="173"/>
      <c r="BE840" s="173"/>
      <c r="BF840" s="173"/>
      <c r="BG840" s="173"/>
      <c r="BH840" s="173"/>
      <c r="BI840" s="173"/>
      <c r="BJ840" s="173"/>
      <c r="BK840" s="173"/>
      <c r="BL840" s="173"/>
      <c r="BM840" s="173"/>
    </row>
    <row r="841" spans="1:65">
      <c r="A841" s="173"/>
      <c r="B841" s="173"/>
      <c r="C841" s="173"/>
      <c r="D841" s="173"/>
      <c r="E841" s="173"/>
      <c r="F841" s="173"/>
      <c r="G841" s="173"/>
      <c r="H841" s="173"/>
      <c r="I841" s="173"/>
      <c r="J841" s="173"/>
      <c r="K841" s="322"/>
      <c r="L841" s="173"/>
      <c r="M841" s="173"/>
      <c r="Q841" s="173"/>
      <c r="R841" s="173"/>
      <c r="S841" s="173"/>
      <c r="T841" s="173"/>
      <c r="U841" s="173"/>
      <c r="V841" s="173"/>
      <c r="W841" s="173"/>
      <c r="X841" s="173"/>
      <c r="Y841" s="173"/>
      <c r="Z841" s="173"/>
      <c r="AA841" s="173"/>
      <c r="AB841" s="173"/>
      <c r="AC841" s="173"/>
      <c r="AD841" s="173"/>
      <c r="AE841" s="173"/>
      <c r="AF841" s="173"/>
      <c r="AG841" s="173"/>
      <c r="AH841" s="173"/>
      <c r="AI841" s="173"/>
      <c r="AJ841" s="173"/>
      <c r="AK841" s="173"/>
      <c r="AL841" s="173"/>
      <c r="AM841" s="173"/>
      <c r="AN841" s="173"/>
      <c r="AO841" s="173"/>
      <c r="AP841" s="173"/>
      <c r="AQ841" s="173"/>
      <c r="AR841" s="173"/>
      <c r="AS841" s="173"/>
      <c r="AT841" s="173"/>
      <c r="AU841" s="173"/>
      <c r="AV841" s="173"/>
      <c r="AW841" s="173"/>
      <c r="AX841" s="173"/>
      <c r="AY841" s="173"/>
      <c r="AZ841" s="173"/>
      <c r="BA841" s="173"/>
      <c r="BB841" s="173"/>
      <c r="BC841" s="173"/>
      <c r="BD841" s="173"/>
      <c r="BE841" s="173"/>
      <c r="BF841" s="173"/>
      <c r="BG841" s="173"/>
      <c r="BH841" s="173"/>
      <c r="BI841" s="173"/>
      <c r="BJ841" s="173"/>
      <c r="BK841" s="173"/>
      <c r="BL841" s="173"/>
      <c r="BM841" s="173"/>
    </row>
    <row r="842" spans="1:65">
      <c r="A842" s="173"/>
      <c r="B842" s="173"/>
      <c r="C842" s="173"/>
      <c r="D842" s="173"/>
      <c r="E842" s="173"/>
      <c r="F842" s="173"/>
      <c r="G842" s="173"/>
      <c r="H842" s="173"/>
      <c r="I842" s="173"/>
      <c r="J842" s="173"/>
      <c r="K842" s="322"/>
      <c r="L842" s="173"/>
      <c r="M842" s="173"/>
      <c r="Q842" s="173"/>
      <c r="R842" s="173"/>
      <c r="S842" s="173"/>
      <c r="T842" s="173"/>
      <c r="U842" s="173"/>
      <c r="V842" s="173"/>
      <c r="W842" s="173"/>
      <c r="X842" s="173"/>
      <c r="Y842" s="173"/>
      <c r="Z842" s="173"/>
      <c r="AA842" s="173"/>
      <c r="AB842" s="173"/>
      <c r="AC842" s="173"/>
      <c r="AD842" s="173"/>
      <c r="AE842" s="173"/>
      <c r="AF842" s="173"/>
      <c r="AG842" s="173"/>
      <c r="AH842" s="173"/>
      <c r="AI842" s="173"/>
      <c r="AJ842" s="173"/>
      <c r="AK842" s="173"/>
      <c r="AL842" s="173"/>
      <c r="AM842" s="173"/>
      <c r="AN842" s="173"/>
      <c r="AO842" s="173"/>
      <c r="AP842" s="173"/>
      <c r="AQ842" s="173"/>
      <c r="AR842" s="173"/>
      <c r="AS842" s="173"/>
      <c r="AT842" s="173"/>
      <c r="AU842" s="173"/>
      <c r="AV842" s="173"/>
      <c r="AW842" s="173"/>
      <c r="AX842" s="173"/>
      <c r="AY842" s="173"/>
      <c r="AZ842" s="173"/>
      <c r="BA842" s="173"/>
      <c r="BB842" s="173"/>
      <c r="BC842" s="173"/>
      <c r="BD842" s="173"/>
      <c r="BE842" s="173"/>
      <c r="BF842" s="173"/>
      <c r="BG842" s="173"/>
      <c r="BH842" s="173"/>
      <c r="BI842" s="173"/>
      <c r="BJ842" s="173"/>
      <c r="BK842" s="173"/>
      <c r="BL842" s="173"/>
      <c r="BM842" s="173"/>
    </row>
    <row r="843" spans="1:65">
      <c r="A843" s="173"/>
      <c r="B843" s="173"/>
      <c r="C843" s="173"/>
      <c r="D843" s="173"/>
      <c r="E843" s="173"/>
      <c r="F843" s="173"/>
      <c r="G843" s="173"/>
      <c r="H843" s="173"/>
      <c r="I843" s="173"/>
      <c r="J843" s="173"/>
      <c r="K843" s="322"/>
      <c r="L843" s="173"/>
      <c r="M843" s="173"/>
      <c r="Q843" s="173"/>
      <c r="R843" s="173"/>
      <c r="S843" s="173"/>
      <c r="T843" s="173"/>
      <c r="U843" s="173"/>
      <c r="V843" s="173"/>
      <c r="W843" s="173"/>
      <c r="X843" s="173"/>
      <c r="Y843" s="173"/>
      <c r="Z843" s="173"/>
      <c r="AA843" s="173"/>
      <c r="AB843" s="173"/>
      <c r="AC843" s="173"/>
      <c r="AD843" s="173"/>
      <c r="AE843" s="173"/>
      <c r="AF843" s="173"/>
      <c r="AG843" s="173"/>
      <c r="AH843" s="173"/>
      <c r="AI843" s="173"/>
      <c r="AJ843" s="173"/>
      <c r="AK843" s="173"/>
      <c r="AL843" s="173"/>
      <c r="AM843" s="173"/>
      <c r="AN843" s="173"/>
      <c r="AO843" s="173"/>
      <c r="AP843" s="173"/>
      <c r="AQ843" s="173"/>
      <c r="AR843" s="173"/>
      <c r="AS843" s="173"/>
      <c r="AT843" s="173"/>
      <c r="AU843" s="173"/>
      <c r="AV843" s="173"/>
      <c r="AW843" s="173"/>
      <c r="AX843" s="173"/>
      <c r="AY843" s="173"/>
      <c r="AZ843" s="173"/>
      <c r="BA843" s="173"/>
      <c r="BB843" s="173"/>
      <c r="BC843" s="173"/>
      <c r="BD843" s="173"/>
      <c r="BE843" s="173"/>
      <c r="BF843" s="173"/>
      <c r="BG843" s="173"/>
      <c r="BH843" s="173"/>
      <c r="BI843" s="173"/>
      <c r="BJ843" s="173"/>
      <c r="BK843" s="173"/>
      <c r="BL843" s="173"/>
      <c r="BM843" s="173"/>
    </row>
    <row r="844" spans="1:65">
      <c r="A844" s="173"/>
      <c r="B844" s="173"/>
      <c r="C844" s="173"/>
      <c r="D844" s="173"/>
      <c r="E844" s="173"/>
      <c r="F844" s="173"/>
      <c r="G844" s="173"/>
      <c r="H844" s="173"/>
      <c r="I844" s="173"/>
      <c r="J844" s="173"/>
      <c r="K844" s="322"/>
      <c r="L844" s="173"/>
      <c r="M844" s="173"/>
      <c r="Q844" s="173"/>
      <c r="R844" s="173"/>
      <c r="S844" s="173"/>
      <c r="T844" s="173"/>
      <c r="U844" s="173"/>
      <c r="V844" s="173"/>
      <c r="W844" s="173"/>
      <c r="X844" s="173"/>
      <c r="Y844" s="173"/>
      <c r="Z844" s="173"/>
      <c r="AA844" s="173"/>
      <c r="AB844" s="173"/>
      <c r="AC844" s="173"/>
      <c r="AD844" s="173"/>
      <c r="AE844" s="173"/>
      <c r="AF844" s="173"/>
      <c r="AG844" s="173"/>
      <c r="AH844" s="173"/>
      <c r="AI844" s="173"/>
      <c r="AJ844" s="173"/>
      <c r="AK844" s="173"/>
      <c r="AL844" s="173"/>
      <c r="AM844" s="173"/>
      <c r="AN844" s="173"/>
      <c r="AO844" s="173"/>
      <c r="AP844" s="173"/>
      <c r="AQ844" s="173"/>
      <c r="AR844" s="173"/>
      <c r="AS844" s="173"/>
      <c r="AT844" s="173"/>
      <c r="AU844" s="173"/>
      <c r="AV844" s="173"/>
      <c r="AW844" s="173"/>
      <c r="AX844" s="173"/>
      <c r="AY844" s="173"/>
      <c r="AZ844" s="173"/>
      <c r="BA844" s="173"/>
      <c r="BB844" s="173"/>
      <c r="BC844" s="173"/>
      <c r="BD844" s="173"/>
      <c r="BE844" s="173"/>
      <c r="BF844" s="173"/>
      <c r="BG844" s="173"/>
      <c r="BH844" s="173"/>
      <c r="BI844" s="173"/>
      <c r="BJ844" s="173"/>
      <c r="BK844" s="173"/>
      <c r="BL844" s="173"/>
      <c r="BM844" s="173"/>
    </row>
    <row r="845" spans="1:65">
      <c r="A845" s="173"/>
      <c r="B845" s="173"/>
      <c r="C845" s="173"/>
      <c r="D845" s="173"/>
      <c r="E845" s="173"/>
      <c r="F845" s="173"/>
      <c r="G845" s="173"/>
      <c r="H845" s="173"/>
      <c r="I845" s="173"/>
      <c r="J845" s="173"/>
      <c r="K845" s="322"/>
      <c r="L845" s="173"/>
      <c r="M845" s="173"/>
      <c r="Q845" s="173"/>
      <c r="R845" s="173"/>
      <c r="S845" s="173"/>
      <c r="T845" s="173"/>
      <c r="U845" s="173"/>
      <c r="V845" s="173"/>
      <c r="W845" s="173"/>
      <c r="X845" s="173"/>
      <c r="Y845" s="173"/>
      <c r="Z845" s="173"/>
      <c r="AA845" s="173"/>
      <c r="AB845" s="173"/>
      <c r="AC845" s="173"/>
      <c r="AD845" s="173"/>
      <c r="AE845" s="173"/>
      <c r="AF845" s="173"/>
      <c r="AG845" s="173"/>
      <c r="AH845" s="173"/>
      <c r="AI845" s="173"/>
      <c r="AJ845" s="173"/>
      <c r="AK845" s="173"/>
      <c r="AL845" s="173"/>
      <c r="AM845" s="173"/>
      <c r="AN845" s="173"/>
      <c r="AO845" s="173"/>
      <c r="AP845" s="173"/>
      <c r="AQ845" s="173"/>
      <c r="AR845" s="173"/>
      <c r="AS845" s="173"/>
      <c r="AT845" s="173"/>
      <c r="AU845" s="173"/>
      <c r="AV845" s="173"/>
      <c r="AW845" s="173"/>
      <c r="AX845" s="173"/>
      <c r="AY845" s="173"/>
      <c r="AZ845" s="173"/>
      <c r="BA845" s="173"/>
      <c r="BB845" s="173"/>
      <c r="BC845" s="173"/>
      <c r="BD845" s="173"/>
      <c r="BE845" s="173"/>
      <c r="BF845" s="173"/>
      <c r="BG845" s="173"/>
      <c r="BH845" s="173"/>
      <c r="BI845" s="173"/>
      <c r="BJ845" s="173"/>
      <c r="BK845" s="173"/>
      <c r="BL845" s="173"/>
      <c r="BM845" s="173"/>
    </row>
    <row r="846" spans="1:65">
      <c r="A846" s="173"/>
      <c r="B846" s="173"/>
      <c r="C846" s="173"/>
      <c r="D846" s="173"/>
      <c r="E846" s="173"/>
      <c r="F846" s="173"/>
      <c r="G846" s="173"/>
      <c r="H846" s="173"/>
      <c r="I846" s="173"/>
      <c r="J846" s="173"/>
      <c r="K846" s="322"/>
      <c r="L846" s="173"/>
      <c r="M846" s="173"/>
      <c r="Q846" s="173"/>
      <c r="R846" s="173"/>
      <c r="S846" s="173"/>
      <c r="T846" s="173"/>
      <c r="U846" s="173"/>
      <c r="V846" s="173"/>
      <c r="W846" s="173"/>
      <c r="X846" s="173"/>
      <c r="Y846" s="173"/>
      <c r="Z846" s="173"/>
      <c r="AA846" s="173"/>
      <c r="AB846" s="173"/>
      <c r="AC846" s="173"/>
      <c r="AD846" s="173"/>
      <c r="AE846" s="173"/>
      <c r="AF846" s="173"/>
      <c r="AG846" s="173"/>
      <c r="AH846" s="173"/>
      <c r="AI846" s="173"/>
      <c r="AJ846" s="173"/>
      <c r="AK846" s="173"/>
      <c r="AL846" s="173"/>
      <c r="AM846" s="173"/>
      <c r="AN846" s="173"/>
      <c r="AO846" s="173"/>
      <c r="AP846" s="173"/>
      <c r="AQ846" s="173"/>
      <c r="AR846" s="173"/>
      <c r="AS846" s="173"/>
      <c r="AT846" s="173"/>
      <c r="AU846" s="173"/>
      <c r="AV846" s="173"/>
      <c r="AW846" s="173"/>
      <c r="AX846" s="173"/>
      <c r="AY846" s="173"/>
      <c r="AZ846" s="173"/>
      <c r="BA846" s="173"/>
      <c r="BB846" s="173"/>
      <c r="BC846" s="173"/>
      <c r="BD846" s="173"/>
      <c r="BE846" s="173"/>
      <c r="BF846" s="173"/>
      <c r="BG846" s="173"/>
      <c r="BH846" s="173"/>
      <c r="BI846" s="173"/>
      <c r="BJ846" s="173"/>
      <c r="BK846" s="173"/>
      <c r="BL846" s="173"/>
      <c r="BM846" s="173"/>
    </row>
    <row r="847" spans="1:65">
      <c r="A847" s="173"/>
      <c r="B847" s="173"/>
      <c r="C847" s="173"/>
      <c r="D847" s="173"/>
      <c r="E847" s="173"/>
      <c r="F847" s="173"/>
      <c r="G847" s="173"/>
      <c r="H847" s="173"/>
      <c r="I847" s="173"/>
      <c r="J847" s="173"/>
      <c r="K847" s="322"/>
      <c r="L847" s="173"/>
      <c r="M847" s="173"/>
      <c r="Q847" s="173"/>
      <c r="R847" s="173"/>
      <c r="S847" s="173"/>
      <c r="T847" s="173"/>
      <c r="U847" s="173"/>
      <c r="V847" s="173"/>
      <c r="W847" s="173"/>
      <c r="X847" s="173"/>
      <c r="Y847" s="173"/>
      <c r="Z847" s="173"/>
      <c r="AA847" s="173"/>
      <c r="AB847" s="173"/>
      <c r="AC847" s="173"/>
      <c r="AD847" s="173"/>
      <c r="AE847" s="173"/>
      <c r="AF847" s="173"/>
      <c r="AG847" s="173"/>
      <c r="AH847" s="173"/>
      <c r="AI847" s="173"/>
      <c r="AJ847" s="173"/>
      <c r="AK847" s="173"/>
      <c r="AL847" s="173"/>
      <c r="AM847" s="173"/>
      <c r="AN847" s="173"/>
      <c r="AO847" s="173"/>
      <c r="AP847" s="173"/>
      <c r="AQ847" s="173"/>
      <c r="AR847" s="173"/>
      <c r="AS847" s="173"/>
      <c r="AT847" s="173"/>
      <c r="AU847" s="173"/>
      <c r="AV847" s="173"/>
      <c r="AW847" s="173"/>
      <c r="AX847" s="173"/>
      <c r="AY847" s="173"/>
      <c r="AZ847" s="173"/>
      <c r="BA847" s="173"/>
      <c r="BB847" s="173"/>
      <c r="BC847" s="173"/>
      <c r="BD847" s="173"/>
      <c r="BE847" s="173"/>
      <c r="BF847" s="173"/>
      <c r="BG847" s="173"/>
      <c r="BH847" s="173"/>
      <c r="BI847" s="173"/>
      <c r="BJ847" s="173"/>
      <c r="BK847" s="173"/>
      <c r="BL847" s="173"/>
      <c r="BM847" s="173"/>
    </row>
    <row r="848" spans="1:65">
      <c r="A848" s="173"/>
      <c r="B848" s="173"/>
      <c r="C848" s="173"/>
      <c r="D848" s="173"/>
      <c r="E848" s="173"/>
      <c r="F848" s="173"/>
      <c r="G848" s="173"/>
      <c r="H848" s="173"/>
      <c r="I848" s="173"/>
      <c r="J848" s="173"/>
      <c r="K848" s="322"/>
      <c r="L848" s="173"/>
      <c r="M848" s="173"/>
      <c r="Q848" s="173"/>
      <c r="R848" s="173"/>
      <c r="S848" s="173"/>
      <c r="T848" s="173"/>
      <c r="U848" s="173"/>
      <c r="V848" s="173"/>
      <c r="W848" s="173"/>
      <c r="X848" s="173"/>
      <c r="Y848" s="173"/>
      <c r="Z848" s="173"/>
      <c r="AA848" s="173"/>
      <c r="AB848" s="173"/>
      <c r="AC848" s="173"/>
      <c r="AD848" s="173"/>
      <c r="AE848" s="173"/>
      <c r="AF848" s="173"/>
      <c r="AG848" s="173"/>
      <c r="AH848" s="173"/>
      <c r="AI848" s="173"/>
      <c r="AJ848" s="173"/>
      <c r="AK848" s="173"/>
      <c r="AL848" s="173"/>
      <c r="AM848" s="173"/>
      <c r="AN848" s="173"/>
      <c r="AO848" s="173"/>
      <c r="AP848" s="173"/>
      <c r="AQ848" s="173"/>
      <c r="AR848" s="173"/>
      <c r="AS848" s="173"/>
      <c r="AT848" s="173"/>
      <c r="AU848" s="173"/>
      <c r="AV848" s="173"/>
      <c r="AW848" s="173"/>
      <c r="AX848" s="173"/>
      <c r="AY848" s="173"/>
      <c r="AZ848" s="173"/>
      <c r="BA848" s="173"/>
      <c r="BB848" s="173"/>
      <c r="BC848" s="173"/>
      <c r="BD848" s="173"/>
      <c r="BE848" s="173"/>
      <c r="BF848" s="173"/>
      <c r="BG848" s="173"/>
      <c r="BH848" s="173"/>
      <c r="BI848" s="173"/>
      <c r="BJ848" s="173"/>
      <c r="BK848" s="173"/>
      <c r="BL848" s="173"/>
      <c r="BM848" s="173"/>
    </row>
    <row r="849" spans="1:65">
      <c r="A849" s="173"/>
      <c r="B849" s="173"/>
      <c r="C849" s="173"/>
      <c r="D849" s="173"/>
      <c r="E849" s="173"/>
      <c r="F849" s="173"/>
      <c r="G849" s="173"/>
      <c r="H849" s="173"/>
      <c r="I849" s="173"/>
      <c r="J849" s="173"/>
      <c r="K849" s="322"/>
      <c r="L849" s="173"/>
      <c r="M849" s="173"/>
      <c r="Q849" s="173"/>
      <c r="R849" s="173"/>
      <c r="S849" s="173"/>
      <c r="T849" s="173"/>
      <c r="U849" s="173"/>
      <c r="V849" s="173"/>
      <c r="W849" s="173"/>
      <c r="X849" s="173"/>
      <c r="Y849" s="173"/>
      <c r="Z849" s="173"/>
      <c r="AA849" s="173"/>
      <c r="AB849" s="173"/>
      <c r="AC849" s="173"/>
      <c r="AD849" s="173"/>
      <c r="AE849" s="173"/>
      <c r="AF849" s="173"/>
      <c r="AG849" s="173"/>
      <c r="AH849" s="173"/>
      <c r="AI849" s="173"/>
      <c r="AJ849" s="173"/>
      <c r="AK849" s="173"/>
      <c r="AL849" s="173"/>
      <c r="AM849" s="173"/>
      <c r="AN849" s="173"/>
      <c r="AO849" s="173"/>
      <c r="AP849" s="173"/>
      <c r="AQ849" s="173"/>
      <c r="AR849" s="173"/>
      <c r="AS849" s="173"/>
      <c r="AT849" s="173"/>
      <c r="AU849" s="173"/>
      <c r="AV849" s="173"/>
      <c r="AW849" s="173"/>
      <c r="AX849" s="173"/>
      <c r="AY849" s="173"/>
      <c r="AZ849" s="173"/>
      <c r="BA849" s="173"/>
      <c r="BB849" s="173"/>
      <c r="BC849" s="173"/>
      <c r="BD849" s="173"/>
      <c r="BE849" s="173"/>
      <c r="BF849" s="173"/>
      <c r="BG849" s="173"/>
      <c r="BH849" s="173"/>
      <c r="BI849" s="173"/>
      <c r="BJ849" s="173"/>
      <c r="BK849" s="173"/>
      <c r="BL849" s="173"/>
      <c r="BM849" s="173"/>
    </row>
    <row r="850" spans="1:65">
      <c r="A850" s="173"/>
      <c r="B850" s="173"/>
      <c r="C850" s="173"/>
      <c r="D850" s="173"/>
      <c r="E850" s="173"/>
      <c r="F850" s="173"/>
      <c r="G850" s="173"/>
      <c r="H850" s="173"/>
      <c r="I850" s="173"/>
      <c r="J850" s="173"/>
      <c r="K850" s="322"/>
      <c r="L850" s="173"/>
      <c r="M850" s="173"/>
      <c r="Q850" s="173"/>
      <c r="R850" s="173"/>
      <c r="S850" s="173"/>
      <c r="T850" s="173"/>
      <c r="U850" s="173"/>
      <c r="V850" s="173"/>
      <c r="W850" s="173"/>
      <c r="X850" s="173"/>
      <c r="Y850" s="173"/>
      <c r="Z850" s="173"/>
      <c r="AA850" s="173"/>
      <c r="AB850" s="173"/>
      <c r="AC850" s="173"/>
      <c r="AD850" s="173"/>
      <c r="AE850" s="173"/>
      <c r="AF850" s="173"/>
      <c r="AG850" s="173"/>
      <c r="AH850" s="173"/>
      <c r="AI850" s="173"/>
      <c r="AJ850" s="173"/>
      <c r="AK850" s="173"/>
      <c r="AL850" s="173"/>
      <c r="AM850" s="173"/>
      <c r="AN850" s="173"/>
      <c r="AO850" s="173"/>
      <c r="AP850" s="173"/>
      <c r="AQ850" s="173"/>
      <c r="AR850" s="173"/>
      <c r="AS850" s="173"/>
      <c r="AT850" s="173"/>
      <c r="AU850" s="173"/>
      <c r="AV850" s="173"/>
      <c r="AW850" s="173"/>
      <c r="AX850" s="173"/>
      <c r="AY850" s="173"/>
      <c r="AZ850" s="173"/>
      <c r="BA850" s="173"/>
      <c r="BB850" s="173"/>
      <c r="BC850" s="173"/>
      <c r="BD850" s="173"/>
      <c r="BE850" s="173"/>
      <c r="BF850" s="173"/>
      <c r="BG850" s="173"/>
      <c r="BH850" s="173"/>
      <c r="BI850" s="173"/>
      <c r="BJ850" s="173"/>
      <c r="BK850" s="173"/>
      <c r="BL850" s="173"/>
      <c r="BM850" s="173"/>
    </row>
    <row r="851" spans="1:65">
      <c r="A851" s="173"/>
      <c r="B851" s="173"/>
      <c r="C851" s="173"/>
      <c r="D851" s="173"/>
      <c r="E851" s="173"/>
      <c r="F851" s="173"/>
      <c r="G851" s="173"/>
      <c r="H851" s="173"/>
      <c r="I851" s="173"/>
      <c r="J851" s="173"/>
      <c r="K851" s="322"/>
      <c r="L851" s="173"/>
      <c r="M851" s="173"/>
      <c r="Q851" s="173"/>
      <c r="R851" s="173"/>
      <c r="S851" s="173"/>
      <c r="T851" s="173"/>
      <c r="U851" s="173"/>
      <c r="V851" s="173"/>
      <c r="W851" s="173"/>
      <c r="X851" s="173"/>
      <c r="Y851" s="173"/>
      <c r="Z851" s="173"/>
      <c r="AA851" s="173"/>
      <c r="AB851" s="173"/>
      <c r="AC851" s="173"/>
      <c r="AD851" s="173"/>
      <c r="AE851" s="173"/>
      <c r="AF851" s="173"/>
      <c r="AG851" s="173"/>
      <c r="AH851" s="173"/>
      <c r="AI851" s="173"/>
      <c r="AJ851" s="173"/>
      <c r="AK851" s="173"/>
      <c r="AL851" s="173"/>
      <c r="AM851" s="173"/>
      <c r="AN851" s="173"/>
      <c r="AO851" s="173"/>
      <c r="AP851" s="173"/>
      <c r="AQ851" s="173"/>
      <c r="AR851" s="173"/>
      <c r="AS851" s="173"/>
      <c r="AT851" s="173"/>
      <c r="AU851" s="173"/>
      <c r="AV851" s="173"/>
      <c r="AW851" s="173"/>
      <c r="AX851" s="173"/>
      <c r="AY851" s="173"/>
      <c r="AZ851" s="173"/>
      <c r="BA851" s="173"/>
      <c r="BB851" s="173"/>
      <c r="BC851" s="173"/>
      <c r="BD851" s="173"/>
      <c r="BE851" s="173"/>
      <c r="BF851" s="173"/>
      <c r="BG851" s="173"/>
      <c r="BH851" s="173"/>
      <c r="BI851" s="173"/>
      <c r="BJ851" s="173"/>
      <c r="BK851" s="173"/>
      <c r="BL851" s="173"/>
      <c r="BM851" s="173"/>
    </row>
    <row r="852" spans="1:65">
      <c r="A852" s="173"/>
      <c r="B852" s="173"/>
      <c r="C852" s="173"/>
      <c r="D852" s="173"/>
      <c r="E852" s="173"/>
      <c r="F852" s="173"/>
      <c r="G852" s="173"/>
      <c r="H852" s="173"/>
      <c r="I852" s="173"/>
      <c r="J852" s="173"/>
      <c r="K852" s="322"/>
      <c r="L852" s="173"/>
      <c r="M852" s="173"/>
      <c r="Q852" s="173"/>
      <c r="R852" s="173"/>
      <c r="S852" s="173"/>
      <c r="T852" s="173"/>
      <c r="U852" s="173"/>
      <c r="V852" s="173"/>
      <c r="W852" s="173"/>
      <c r="X852" s="173"/>
      <c r="Y852" s="173"/>
      <c r="Z852" s="173"/>
      <c r="AA852" s="173"/>
      <c r="AB852" s="173"/>
      <c r="AC852" s="173"/>
      <c r="AD852" s="173"/>
      <c r="AE852" s="173"/>
      <c r="AF852" s="173"/>
      <c r="AG852" s="173"/>
      <c r="AH852" s="173"/>
      <c r="AI852" s="173"/>
      <c r="AJ852" s="173"/>
      <c r="AK852" s="173"/>
      <c r="AL852" s="173"/>
      <c r="AM852" s="173"/>
      <c r="AN852" s="173"/>
      <c r="AO852" s="173"/>
      <c r="AP852" s="173"/>
      <c r="AQ852" s="173"/>
      <c r="AR852" s="173"/>
      <c r="AS852" s="173"/>
      <c r="AT852" s="173"/>
      <c r="AU852" s="173"/>
      <c r="AV852" s="173"/>
      <c r="AW852" s="173"/>
      <c r="AX852" s="173"/>
      <c r="AY852" s="173"/>
      <c r="AZ852" s="173"/>
      <c r="BA852" s="173"/>
      <c r="BB852" s="173"/>
      <c r="BC852" s="173"/>
      <c r="BD852" s="173"/>
      <c r="BE852" s="173"/>
      <c r="BF852" s="173"/>
      <c r="BG852" s="173"/>
      <c r="BH852" s="173"/>
      <c r="BI852" s="173"/>
      <c r="BJ852" s="173"/>
      <c r="BK852" s="173"/>
      <c r="BL852" s="173"/>
      <c r="BM852" s="173"/>
    </row>
    <row r="853" spans="1:65">
      <c r="A853" s="173"/>
      <c r="B853" s="173"/>
      <c r="C853" s="173"/>
      <c r="D853" s="173"/>
      <c r="E853" s="173"/>
      <c r="F853" s="173"/>
      <c r="G853" s="173"/>
      <c r="H853" s="173"/>
      <c r="I853" s="173"/>
      <c r="J853" s="173"/>
      <c r="K853" s="322"/>
      <c r="L853" s="173"/>
      <c r="M853" s="173"/>
      <c r="Q853" s="173"/>
      <c r="R853" s="173"/>
      <c r="S853" s="173"/>
      <c r="T853" s="173"/>
      <c r="U853" s="173"/>
      <c r="V853" s="173"/>
      <c r="W853" s="173"/>
      <c r="X853" s="173"/>
      <c r="Y853" s="173"/>
      <c r="Z853" s="173"/>
      <c r="AA853" s="173"/>
      <c r="AB853" s="173"/>
      <c r="AC853" s="173"/>
      <c r="AD853" s="173"/>
      <c r="AE853" s="173"/>
      <c r="AF853" s="173"/>
      <c r="AG853" s="173"/>
      <c r="AH853" s="173"/>
      <c r="AI853" s="173"/>
      <c r="AJ853" s="173"/>
      <c r="AK853" s="173"/>
      <c r="AL853" s="173"/>
      <c r="AM853" s="173"/>
      <c r="AN853" s="173"/>
      <c r="AO853" s="173"/>
      <c r="AP853" s="173"/>
      <c r="AQ853" s="173"/>
      <c r="AR853" s="173"/>
      <c r="AS853" s="173"/>
      <c r="AT853" s="173"/>
      <c r="AU853" s="173"/>
      <c r="AV853" s="173"/>
      <c r="AW853" s="173"/>
      <c r="AX853" s="173"/>
      <c r="AY853" s="173"/>
      <c r="AZ853" s="173"/>
      <c r="BA853" s="173"/>
      <c r="BB853" s="173"/>
      <c r="BC853" s="173"/>
      <c r="BD853" s="173"/>
      <c r="BE853" s="173"/>
      <c r="BF853" s="173"/>
      <c r="BG853" s="173"/>
      <c r="BH853" s="173"/>
      <c r="BI853" s="173"/>
      <c r="BJ853" s="173"/>
      <c r="BK853" s="173"/>
      <c r="BL853" s="173"/>
      <c r="BM853" s="173"/>
    </row>
    <row r="854" spans="1:65">
      <c r="A854" s="173"/>
      <c r="B854" s="173"/>
      <c r="C854" s="173"/>
      <c r="D854" s="173"/>
      <c r="E854" s="173"/>
      <c r="F854" s="173"/>
      <c r="G854" s="173"/>
      <c r="H854" s="173"/>
      <c r="I854" s="173"/>
      <c r="J854" s="173"/>
      <c r="K854" s="322"/>
      <c r="L854" s="173"/>
      <c r="M854" s="173"/>
      <c r="Q854" s="173"/>
      <c r="R854" s="173"/>
      <c r="S854" s="173"/>
      <c r="T854" s="173"/>
      <c r="U854" s="173"/>
      <c r="V854" s="173"/>
      <c r="W854" s="173"/>
      <c r="X854" s="173"/>
      <c r="Y854" s="173"/>
      <c r="Z854" s="173"/>
      <c r="AA854" s="173"/>
      <c r="AB854" s="173"/>
      <c r="AC854" s="173"/>
      <c r="AD854" s="173"/>
      <c r="AE854" s="173"/>
      <c r="AF854" s="173"/>
      <c r="AG854" s="173"/>
      <c r="AH854" s="173"/>
      <c r="AI854" s="173"/>
      <c r="AJ854" s="173"/>
      <c r="AK854" s="173"/>
      <c r="AL854" s="173"/>
      <c r="AM854" s="173"/>
      <c r="AN854" s="173"/>
      <c r="AO854" s="173"/>
      <c r="AP854" s="173"/>
      <c r="AQ854" s="173"/>
      <c r="AR854" s="173"/>
      <c r="AS854" s="173"/>
      <c r="AT854" s="173"/>
      <c r="AU854" s="173"/>
      <c r="AV854" s="173"/>
      <c r="AW854" s="173"/>
      <c r="AX854" s="173"/>
      <c r="AY854" s="173"/>
      <c r="AZ854" s="173"/>
      <c r="BA854" s="173"/>
      <c r="BB854" s="173"/>
      <c r="BC854" s="173"/>
      <c r="BD854" s="173"/>
      <c r="BE854" s="173"/>
      <c r="BF854" s="173"/>
      <c r="BG854" s="173"/>
      <c r="BH854" s="173"/>
      <c r="BI854" s="173"/>
      <c r="BJ854" s="173"/>
      <c r="BK854" s="173"/>
      <c r="BL854" s="173"/>
      <c r="BM854" s="173"/>
    </row>
    <row r="855" spans="1:65">
      <c r="A855" s="173"/>
      <c r="B855" s="173"/>
      <c r="C855" s="173"/>
      <c r="D855" s="173"/>
      <c r="E855" s="173"/>
      <c r="F855" s="173"/>
      <c r="G855" s="173"/>
      <c r="H855" s="173"/>
      <c r="I855" s="173"/>
      <c r="J855" s="173"/>
      <c r="K855" s="322"/>
      <c r="L855" s="173"/>
      <c r="M855" s="173"/>
      <c r="Q855" s="173"/>
      <c r="R855" s="173"/>
      <c r="S855" s="173"/>
      <c r="T855" s="173"/>
      <c r="U855" s="173"/>
      <c r="V855" s="173"/>
      <c r="W855" s="173"/>
      <c r="X855" s="173"/>
      <c r="Y855" s="173"/>
      <c r="Z855" s="173"/>
      <c r="AA855" s="173"/>
      <c r="AB855" s="173"/>
      <c r="AC855" s="173"/>
      <c r="AD855" s="173"/>
      <c r="AE855" s="173"/>
      <c r="AF855" s="173"/>
      <c r="AG855" s="173"/>
      <c r="AH855" s="173"/>
      <c r="AI855" s="173"/>
      <c r="AJ855" s="173"/>
      <c r="AK855" s="173"/>
      <c r="AL855" s="173"/>
      <c r="AM855" s="173"/>
      <c r="AN855" s="173"/>
      <c r="AO855" s="173"/>
      <c r="AP855" s="173"/>
      <c r="AQ855" s="173"/>
      <c r="AR855" s="173"/>
      <c r="AS855" s="173"/>
      <c r="AT855" s="173"/>
      <c r="AU855" s="173"/>
      <c r="AV855" s="173"/>
      <c r="AW855" s="173"/>
      <c r="AX855" s="173"/>
      <c r="AY855" s="173"/>
      <c r="AZ855" s="173"/>
      <c r="BA855" s="173"/>
      <c r="BB855" s="173"/>
      <c r="BC855" s="173"/>
      <c r="BD855" s="173"/>
      <c r="BE855" s="173"/>
      <c r="BF855" s="173"/>
      <c r="BG855" s="173"/>
      <c r="BH855" s="173"/>
      <c r="BI855" s="173"/>
      <c r="BJ855" s="173"/>
      <c r="BK855" s="173"/>
      <c r="BL855" s="173"/>
      <c r="BM855" s="173"/>
    </row>
    <row r="856" spans="1:65">
      <c r="A856" s="173"/>
      <c r="B856" s="173"/>
      <c r="C856" s="173"/>
      <c r="D856" s="173"/>
      <c r="E856" s="173"/>
      <c r="F856" s="173"/>
      <c r="G856" s="173"/>
      <c r="H856" s="173"/>
      <c r="I856" s="173"/>
      <c r="J856" s="173"/>
      <c r="K856" s="322"/>
      <c r="L856" s="173"/>
      <c r="M856" s="173"/>
      <c r="Q856" s="173"/>
      <c r="R856" s="173"/>
      <c r="S856" s="173"/>
      <c r="T856" s="173"/>
      <c r="U856" s="173"/>
      <c r="V856" s="173"/>
      <c r="W856" s="173"/>
      <c r="X856" s="173"/>
      <c r="Y856" s="173"/>
      <c r="Z856" s="173"/>
      <c r="AA856" s="173"/>
      <c r="AB856" s="173"/>
      <c r="AC856" s="173"/>
      <c r="AD856" s="173"/>
      <c r="AE856" s="173"/>
      <c r="AF856" s="173"/>
      <c r="AG856" s="173"/>
      <c r="AH856" s="173"/>
      <c r="AI856" s="173"/>
      <c r="AJ856" s="173"/>
      <c r="AK856" s="173"/>
      <c r="AL856" s="173"/>
      <c r="AM856" s="173"/>
      <c r="AN856" s="173"/>
      <c r="AO856" s="173"/>
      <c r="AP856" s="173"/>
      <c r="AQ856" s="173"/>
      <c r="AR856" s="173"/>
      <c r="AS856" s="173"/>
      <c r="AT856" s="173"/>
      <c r="AU856" s="173"/>
      <c r="AV856" s="173"/>
      <c r="AW856" s="173"/>
      <c r="AX856" s="173"/>
      <c r="AY856" s="173"/>
      <c r="AZ856" s="173"/>
      <c r="BA856" s="173"/>
      <c r="BB856" s="173"/>
      <c r="BC856" s="173"/>
      <c r="BD856" s="173"/>
      <c r="BE856" s="173"/>
      <c r="BF856" s="173"/>
      <c r="BG856" s="173"/>
      <c r="BH856" s="173"/>
      <c r="BI856" s="173"/>
      <c r="BJ856" s="173"/>
      <c r="BK856" s="173"/>
      <c r="BL856" s="173"/>
      <c r="BM856" s="173"/>
    </row>
    <row r="857" spans="1:65">
      <c r="A857" s="173"/>
      <c r="B857" s="173"/>
      <c r="C857" s="173"/>
      <c r="D857" s="173"/>
      <c r="E857" s="173"/>
      <c r="F857" s="173"/>
      <c r="G857" s="173"/>
      <c r="H857" s="173"/>
      <c r="I857" s="173"/>
      <c r="J857" s="173"/>
      <c r="K857" s="322"/>
      <c r="L857" s="173"/>
      <c r="M857" s="173"/>
      <c r="Q857" s="173"/>
      <c r="R857" s="173"/>
      <c r="S857" s="173"/>
      <c r="T857" s="173"/>
      <c r="U857" s="173"/>
      <c r="V857" s="173"/>
      <c r="W857" s="173"/>
      <c r="X857" s="173"/>
      <c r="Y857" s="173"/>
      <c r="Z857" s="173"/>
      <c r="AA857" s="173"/>
      <c r="AB857" s="173"/>
      <c r="AC857" s="173"/>
      <c r="AD857" s="173"/>
      <c r="AE857" s="173"/>
      <c r="AF857" s="173"/>
      <c r="AG857" s="173"/>
      <c r="AH857" s="173"/>
      <c r="AI857" s="173"/>
      <c r="AJ857" s="173"/>
      <c r="AK857" s="173"/>
      <c r="AL857" s="173"/>
      <c r="AM857" s="173"/>
      <c r="AN857" s="173"/>
      <c r="AO857" s="173"/>
      <c r="AP857" s="173"/>
      <c r="AQ857" s="173"/>
      <c r="AR857" s="173"/>
      <c r="AS857" s="173"/>
      <c r="AT857" s="173"/>
      <c r="AU857" s="173"/>
      <c r="AV857" s="173"/>
      <c r="AW857" s="173"/>
      <c r="AX857" s="173"/>
      <c r="AY857" s="173"/>
      <c r="AZ857" s="173"/>
      <c r="BA857" s="173"/>
      <c r="BB857" s="173"/>
      <c r="BC857" s="173"/>
      <c r="BD857" s="173"/>
      <c r="BE857" s="173"/>
      <c r="BF857" s="173"/>
      <c r="BG857" s="173"/>
      <c r="BH857" s="173"/>
      <c r="BI857" s="173"/>
      <c r="BJ857" s="173"/>
      <c r="BK857" s="173"/>
      <c r="BL857" s="173"/>
      <c r="BM857" s="173"/>
    </row>
    <row r="858" spans="1:65">
      <c r="A858" s="173"/>
      <c r="B858" s="173"/>
      <c r="C858" s="173"/>
      <c r="D858" s="173"/>
      <c r="E858" s="173"/>
      <c r="F858" s="173"/>
      <c r="G858" s="173"/>
      <c r="H858" s="173"/>
      <c r="I858" s="173"/>
      <c r="J858" s="173"/>
      <c r="K858" s="322"/>
      <c r="L858" s="173"/>
      <c r="M858" s="173"/>
      <c r="Q858" s="173"/>
      <c r="R858" s="173"/>
      <c r="S858" s="173"/>
      <c r="T858" s="173"/>
      <c r="U858" s="173"/>
      <c r="V858" s="173"/>
      <c r="W858" s="173"/>
      <c r="X858" s="173"/>
      <c r="Y858" s="173"/>
      <c r="Z858" s="173"/>
      <c r="AA858" s="173"/>
      <c r="AB858" s="173"/>
      <c r="AC858" s="173"/>
      <c r="AD858" s="173"/>
      <c r="AE858" s="173"/>
      <c r="AF858" s="173"/>
      <c r="AG858" s="173"/>
      <c r="AH858" s="173"/>
      <c r="AI858" s="173"/>
      <c r="AJ858" s="173"/>
      <c r="AK858" s="173"/>
      <c r="AL858" s="173"/>
      <c r="AM858" s="173"/>
      <c r="AN858" s="173"/>
      <c r="AO858" s="173"/>
      <c r="AP858" s="173"/>
      <c r="AQ858" s="173"/>
      <c r="AR858" s="173"/>
      <c r="AS858" s="173"/>
      <c r="AT858" s="173"/>
      <c r="AU858" s="173"/>
      <c r="AV858" s="173"/>
      <c r="AW858" s="173"/>
      <c r="AX858" s="173"/>
      <c r="AY858" s="173"/>
      <c r="AZ858" s="173"/>
      <c r="BA858" s="173"/>
      <c r="BB858" s="173"/>
      <c r="BC858" s="173"/>
      <c r="BD858" s="173"/>
      <c r="BE858" s="173"/>
      <c r="BF858" s="173"/>
      <c r="BG858" s="173"/>
      <c r="BH858" s="173"/>
      <c r="BI858" s="173"/>
      <c r="BJ858" s="173"/>
      <c r="BK858" s="173"/>
      <c r="BL858" s="173"/>
      <c r="BM858" s="173"/>
    </row>
    <row r="859" spans="1:65">
      <c r="A859" s="173"/>
      <c r="B859" s="173"/>
      <c r="C859" s="173"/>
      <c r="D859" s="173"/>
      <c r="E859" s="173"/>
      <c r="F859" s="173"/>
      <c r="G859" s="173"/>
      <c r="H859" s="173"/>
      <c r="I859" s="173"/>
      <c r="J859" s="173"/>
      <c r="K859" s="322"/>
      <c r="L859" s="173"/>
      <c r="M859" s="173"/>
      <c r="Q859" s="173"/>
      <c r="R859" s="173"/>
      <c r="S859" s="173"/>
      <c r="T859" s="173"/>
      <c r="U859" s="173"/>
      <c r="V859" s="173"/>
      <c r="W859" s="173"/>
      <c r="X859" s="173"/>
      <c r="Y859" s="173"/>
      <c r="Z859" s="173"/>
      <c r="AA859" s="173"/>
      <c r="AB859" s="173"/>
      <c r="AC859" s="173"/>
      <c r="AD859" s="173"/>
      <c r="AE859" s="173"/>
      <c r="AF859" s="173"/>
      <c r="AG859" s="173"/>
      <c r="AH859" s="173"/>
      <c r="AI859" s="173"/>
      <c r="AJ859" s="173"/>
      <c r="AK859" s="173"/>
      <c r="AL859" s="173"/>
      <c r="AM859" s="173"/>
      <c r="AN859" s="173"/>
      <c r="AO859" s="173"/>
      <c r="AP859" s="173"/>
      <c r="AQ859" s="173"/>
      <c r="AR859" s="173"/>
      <c r="AS859" s="173"/>
      <c r="AT859" s="173"/>
      <c r="AU859" s="173"/>
      <c r="AV859" s="173"/>
      <c r="AW859" s="173"/>
      <c r="AX859" s="173"/>
      <c r="AY859" s="173"/>
      <c r="AZ859" s="173"/>
      <c r="BA859" s="173"/>
      <c r="BB859" s="173"/>
      <c r="BC859" s="173"/>
      <c r="BD859" s="173"/>
      <c r="BE859" s="173"/>
      <c r="BF859" s="173"/>
      <c r="BG859" s="173"/>
      <c r="BH859" s="173"/>
      <c r="BI859" s="173"/>
      <c r="BJ859" s="173"/>
      <c r="BK859" s="173"/>
      <c r="BL859" s="173"/>
      <c r="BM859" s="173"/>
    </row>
    <row r="860" spans="1:65">
      <c r="A860" s="173"/>
      <c r="B860" s="173"/>
      <c r="C860" s="173"/>
      <c r="D860" s="173"/>
      <c r="E860" s="173"/>
      <c r="F860" s="173"/>
      <c r="G860" s="173"/>
      <c r="H860" s="173"/>
      <c r="I860" s="173"/>
      <c r="J860" s="173"/>
      <c r="K860" s="322"/>
      <c r="L860" s="173"/>
      <c r="M860" s="173"/>
      <c r="Q860" s="173"/>
      <c r="R860" s="173"/>
      <c r="S860" s="173"/>
      <c r="T860" s="173"/>
      <c r="U860" s="173"/>
      <c r="V860" s="173"/>
      <c r="W860" s="173"/>
      <c r="X860" s="173"/>
      <c r="Y860" s="173"/>
      <c r="Z860" s="173"/>
      <c r="AA860" s="173"/>
      <c r="AB860" s="173"/>
      <c r="AC860" s="173"/>
      <c r="AD860" s="173"/>
      <c r="AE860" s="173"/>
      <c r="AF860" s="173"/>
      <c r="AG860" s="173"/>
      <c r="AH860" s="173"/>
      <c r="AI860" s="173"/>
      <c r="AJ860" s="173"/>
      <c r="AK860" s="173"/>
      <c r="AL860" s="173"/>
      <c r="AM860" s="173"/>
      <c r="AN860" s="173"/>
      <c r="AO860" s="173"/>
      <c r="AP860" s="173"/>
      <c r="AQ860" s="173"/>
      <c r="AR860" s="173"/>
      <c r="AS860" s="173"/>
      <c r="AT860" s="173"/>
      <c r="AU860" s="173"/>
      <c r="AV860" s="173"/>
      <c r="AW860" s="173"/>
      <c r="AX860" s="173"/>
      <c r="AY860" s="173"/>
      <c r="AZ860" s="173"/>
      <c r="BA860" s="173"/>
      <c r="BB860" s="173"/>
      <c r="BC860" s="173"/>
      <c r="BD860" s="173"/>
      <c r="BE860" s="173"/>
      <c r="BF860" s="173"/>
      <c r="BG860" s="173"/>
      <c r="BH860" s="173"/>
      <c r="BI860" s="173"/>
      <c r="BJ860" s="173"/>
      <c r="BK860" s="173"/>
      <c r="BL860" s="173"/>
      <c r="BM860" s="173"/>
    </row>
    <row r="861" spans="1:65">
      <c r="A861" s="173"/>
      <c r="B861" s="173"/>
      <c r="C861" s="173"/>
      <c r="D861" s="173"/>
      <c r="E861" s="173"/>
      <c r="F861" s="173"/>
      <c r="G861" s="173"/>
      <c r="H861" s="173"/>
      <c r="I861" s="173"/>
      <c r="J861" s="173"/>
      <c r="K861" s="322"/>
      <c r="L861" s="173"/>
      <c r="M861" s="173"/>
      <c r="Q861" s="173"/>
      <c r="R861" s="173"/>
      <c r="S861" s="173"/>
      <c r="T861" s="173"/>
      <c r="U861" s="173"/>
      <c r="V861" s="173"/>
      <c r="W861" s="173"/>
      <c r="X861" s="173"/>
      <c r="Y861" s="173"/>
      <c r="Z861" s="173"/>
      <c r="AA861" s="173"/>
      <c r="AB861" s="173"/>
      <c r="AC861" s="173"/>
      <c r="AD861" s="173"/>
      <c r="AE861" s="173"/>
      <c r="AF861" s="173"/>
      <c r="AG861" s="173"/>
      <c r="AH861" s="173"/>
      <c r="AI861" s="173"/>
      <c r="AJ861" s="173"/>
      <c r="AK861" s="173"/>
      <c r="AL861" s="173"/>
      <c r="AM861" s="173"/>
      <c r="AN861" s="173"/>
      <c r="AO861" s="173"/>
      <c r="AP861" s="173"/>
      <c r="AQ861" s="173"/>
      <c r="AR861" s="173"/>
      <c r="AS861" s="173"/>
      <c r="AT861" s="173"/>
      <c r="AU861" s="173"/>
      <c r="AV861" s="173"/>
      <c r="AW861" s="173"/>
      <c r="AX861" s="173"/>
      <c r="AY861" s="173"/>
      <c r="AZ861" s="173"/>
      <c r="BA861" s="173"/>
      <c r="BB861" s="173"/>
      <c r="BC861" s="173"/>
      <c r="BD861" s="173"/>
      <c r="BE861" s="173"/>
      <c r="BF861" s="173"/>
      <c r="BG861" s="173"/>
      <c r="BH861" s="173"/>
      <c r="BI861" s="173"/>
      <c r="BJ861" s="173"/>
      <c r="BK861" s="173"/>
      <c r="BL861" s="173"/>
      <c r="BM861" s="173"/>
    </row>
    <row r="862" spans="1:65">
      <c r="A862" s="173"/>
      <c r="B862" s="173"/>
      <c r="C862" s="173"/>
      <c r="D862" s="173"/>
      <c r="E862" s="173"/>
      <c r="F862" s="173"/>
      <c r="G862" s="173"/>
      <c r="H862" s="173"/>
      <c r="I862" s="173"/>
      <c r="J862" s="173"/>
      <c r="K862" s="322"/>
      <c r="L862" s="173"/>
      <c r="M862" s="173"/>
      <c r="Q862" s="173"/>
      <c r="R862" s="173"/>
      <c r="S862" s="173"/>
      <c r="T862" s="173"/>
      <c r="U862" s="173"/>
      <c r="V862" s="173"/>
      <c r="W862" s="173"/>
      <c r="X862" s="173"/>
      <c r="Y862" s="173"/>
      <c r="Z862" s="173"/>
      <c r="AA862" s="173"/>
      <c r="AB862" s="173"/>
      <c r="AC862" s="173"/>
      <c r="AD862" s="173"/>
      <c r="AE862" s="173"/>
      <c r="AF862" s="173"/>
      <c r="AG862" s="173"/>
      <c r="AH862" s="173"/>
      <c r="AI862" s="173"/>
      <c r="AJ862" s="173"/>
      <c r="AK862" s="173"/>
      <c r="AL862" s="173"/>
      <c r="AM862" s="173"/>
      <c r="AN862" s="173"/>
      <c r="AO862" s="173"/>
      <c r="AP862" s="173"/>
      <c r="AQ862" s="173"/>
      <c r="AR862" s="173"/>
      <c r="AS862" s="173"/>
      <c r="AT862" s="173"/>
      <c r="AU862" s="173"/>
      <c r="AV862" s="173"/>
      <c r="AW862" s="173"/>
      <c r="AX862" s="173"/>
      <c r="AY862" s="173"/>
      <c r="AZ862" s="173"/>
      <c r="BA862" s="173"/>
      <c r="BB862" s="173"/>
      <c r="BC862" s="173"/>
      <c r="BD862" s="173"/>
      <c r="BE862" s="173"/>
      <c r="BF862" s="173"/>
      <c r="BG862" s="173"/>
      <c r="BH862" s="173"/>
      <c r="BI862" s="173"/>
      <c r="BJ862" s="173"/>
      <c r="BK862" s="173"/>
      <c r="BL862" s="173"/>
      <c r="BM862" s="173"/>
    </row>
    <row r="863" spans="1:65">
      <c r="A863" s="173"/>
      <c r="B863" s="173"/>
      <c r="C863" s="173"/>
      <c r="D863" s="173"/>
      <c r="E863" s="173"/>
      <c r="F863" s="173"/>
      <c r="G863" s="173"/>
      <c r="H863" s="173"/>
      <c r="I863" s="173"/>
      <c r="J863" s="173"/>
      <c r="K863" s="322"/>
      <c r="L863" s="173"/>
      <c r="M863" s="173"/>
      <c r="Q863" s="173"/>
      <c r="R863" s="173"/>
      <c r="S863" s="173"/>
      <c r="T863" s="173"/>
      <c r="U863" s="173"/>
      <c r="V863" s="173"/>
      <c r="W863" s="173"/>
      <c r="X863" s="173"/>
      <c r="Y863" s="173"/>
      <c r="Z863" s="173"/>
      <c r="AA863" s="173"/>
      <c r="AB863" s="173"/>
      <c r="AC863" s="173"/>
      <c r="AD863" s="173"/>
      <c r="AE863" s="173"/>
      <c r="AF863" s="173"/>
      <c r="AG863" s="173"/>
      <c r="AH863" s="173"/>
      <c r="AI863" s="173"/>
      <c r="AJ863" s="173"/>
      <c r="AK863" s="173"/>
      <c r="AL863" s="173"/>
      <c r="AM863" s="173"/>
      <c r="AN863" s="173"/>
      <c r="AO863" s="173"/>
      <c r="AP863" s="173"/>
      <c r="AQ863" s="173"/>
      <c r="AR863" s="173"/>
      <c r="AS863" s="173"/>
      <c r="AT863" s="173"/>
      <c r="AU863" s="173"/>
      <c r="AV863" s="173"/>
      <c r="AW863" s="173"/>
      <c r="AX863" s="173"/>
      <c r="AY863" s="173"/>
      <c r="AZ863" s="173"/>
      <c r="BA863" s="173"/>
      <c r="BB863" s="173"/>
      <c r="BC863" s="173"/>
      <c r="BD863" s="173"/>
      <c r="BE863" s="173"/>
      <c r="BF863" s="173"/>
      <c r="BG863" s="173"/>
      <c r="BH863" s="173"/>
      <c r="BI863" s="173"/>
      <c r="BJ863" s="173"/>
      <c r="BK863" s="173"/>
      <c r="BL863" s="173"/>
      <c r="BM863" s="173"/>
    </row>
    <row r="864" spans="1:65">
      <c r="A864" s="173"/>
      <c r="B864" s="173"/>
      <c r="C864" s="173"/>
      <c r="D864" s="173"/>
      <c r="E864" s="173"/>
      <c r="F864" s="173"/>
      <c r="G864" s="173"/>
      <c r="H864" s="173"/>
      <c r="I864" s="173"/>
      <c r="J864" s="173"/>
      <c r="K864" s="322"/>
      <c r="L864" s="173"/>
      <c r="M864" s="173"/>
      <c r="Q864" s="173"/>
      <c r="R864" s="173"/>
      <c r="S864" s="173"/>
      <c r="T864" s="173"/>
      <c r="U864" s="173"/>
      <c r="V864" s="173"/>
      <c r="W864" s="173"/>
      <c r="X864" s="173"/>
      <c r="Y864" s="173"/>
      <c r="Z864" s="173"/>
      <c r="AA864" s="173"/>
      <c r="AB864" s="173"/>
      <c r="AC864" s="173"/>
      <c r="AD864" s="173"/>
      <c r="AE864" s="173"/>
      <c r="AF864" s="173"/>
      <c r="AG864" s="173"/>
      <c r="AH864" s="173"/>
      <c r="AI864" s="173"/>
      <c r="AJ864" s="173"/>
      <c r="AK864" s="173"/>
      <c r="AL864" s="173"/>
      <c r="AM864" s="173"/>
      <c r="AN864" s="173"/>
      <c r="AO864" s="173"/>
      <c r="AP864" s="173"/>
      <c r="AQ864" s="173"/>
      <c r="AR864" s="173"/>
      <c r="AS864" s="173"/>
      <c r="AT864" s="173"/>
      <c r="AU864" s="173"/>
      <c r="AV864" s="173"/>
      <c r="AW864" s="173"/>
      <c r="AX864" s="173"/>
      <c r="AY864" s="173"/>
      <c r="AZ864" s="173"/>
      <c r="BA864" s="173"/>
      <c r="BB864" s="173"/>
      <c r="BC864" s="173"/>
      <c r="BD864" s="173"/>
      <c r="BE864" s="173"/>
      <c r="BF864" s="173"/>
      <c r="BG864" s="173"/>
      <c r="BH864" s="173"/>
      <c r="BI864" s="173"/>
      <c r="BJ864" s="173"/>
      <c r="BK864" s="173"/>
      <c r="BL864" s="173"/>
      <c r="BM864" s="173"/>
    </row>
    <row r="865" spans="1:65">
      <c r="A865" s="173"/>
      <c r="B865" s="173"/>
      <c r="C865" s="173"/>
      <c r="D865" s="173"/>
      <c r="E865" s="173"/>
      <c r="F865" s="173"/>
      <c r="G865" s="173"/>
      <c r="H865" s="173"/>
      <c r="I865" s="173"/>
      <c r="J865" s="173"/>
      <c r="K865" s="322"/>
      <c r="L865" s="173"/>
      <c r="M865" s="173"/>
      <c r="Q865" s="173"/>
      <c r="R865" s="173"/>
      <c r="S865" s="173"/>
      <c r="T865" s="173"/>
      <c r="U865" s="173"/>
      <c r="V865" s="173"/>
      <c r="W865" s="173"/>
      <c r="X865" s="173"/>
      <c r="Y865" s="173"/>
      <c r="Z865" s="173"/>
      <c r="AA865" s="173"/>
      <c r="AB865" s="173"/>
      <c r="AC865" s="173"/>
      <c r="AD865" s="173"/>
      <c r="AE865" s="173"/>
      <c r="AF865" s="173"/>
      <c r="AG865" s="173"/>
      <c r="AH865" s="173"/>
      <c r="AI865" s="173"/>
      <c r="AJ865" s="173"/>
      <c r="AK865" s="173"/>
      <c r="AL865" s="173"/>
      <c r="AM865" s="173"/>
      <c r="AN865" s="173"/>
      <c r="AO865" s="173"/>
      <c r="AP865" s="173"/>
      <c r="AQ865" s="173"/>
      <c r="AR865" s="173"/>
      <c r="AS865" s="173"/>
      <c r="AT865" s="173"/>
      <c r="AU865" s="173"/>
      <c r="AV865" s="173"/>
      <c r="AW865" s="173"/>
      <c r="AX865" s="173"/>
      <c r="AY865" s="173"/>
      <c r="AZ865" s="173"/>
      <c r="BA865" s="173"/>
      <c r="BB865" s="173"/>
      <c r="BC865" s="173"/>
      <c r="BD865" s="173"/>
      <c r="BE865" s="173"/>
      <c r="BF865" s="173"/>
      <c r="BG865" s="173"/>
      <c r="BH865" s="173"/>
      <c r="BI865" s="173"/>
      <c r="BJ865" s="173"/>
      <c r="BK865" s="173"/>
      <c r="BL865" s="173"/>
      <c r="BM865" s="173"/>
    </row>
    <row r="866" spans="1:65">
      <c r="A866" s="173"/>
      <c r="B866" s="173"/>
      <c r="C866" s="173"/>
      <c r="D866" s="173"/>
      <c r="E866" s="173"/>
      <c r="F866" s="173"/>
      <c r="G866" s="173"/>
      <c r="H866" s="173"/>
      <c r="I866" s="173"/>
      <c r="J866" s="173"/>
      <c r="K866" s="322"/>
      <c r="L866" s="173"/>
      <c r="M866" s="173"/>
      <c r="Q866" s="173"/>
      <c r="R866" s="173"/>
      <c r="S866" s="173"/>
      <c r="T866" s="173"/>
      <c r="U866" s="173"/>
      <c r="V866" s="173"/>
      <c r="W866" s="173"/>
      <c r="X866" s="173"/>
      <c r="Y866" s="173"/>
      <c r="Z866" s="173"/>
      <c r="AA866" s="173"/>
      <c r="AB866" s="173"/>
      <c r="AC866" s="173"/>
      <c r="AD866" s="173"/>
      <c r="AE866" s="173"/>
      <c r="AF866" s="173"/>
      <c r="AG866" s="173"/>
      <c r="AH866" s="173"/>
      <c r="AI866" s="173"/>
      <c r="AJ866" s="173"/>
      <c r="AK866" s="173"/>
      <c r="AL866" s="173"/>
      <c r="AM866" s="173"/>
      <c r="AN866" s="173"/>
      <c r="AO866" s="173"/>
      <c r="AP866" s="173"/>
      <c r="AQ866" s="173"/>
      <c r="AR866" s="173"/>
      <c r="AS866" s="173"/>
      <c r="AT866" s="173"/>
      <c r="AU866" s="173"/>
      <c r="AV866" s="173"/>
      <c r="AW866" s="173"/>
      <c r="AX866" s="173"/>
      <c r="AY866" s="173"/>
      <c r="AZ866" s="173"/>
      <c r="BA866" s="173"/>
      <c r="BB866" s="173"/>
      <c r="BC866" s="173"/>
      <c r="BD866" s="173"/>
      <c r="BE866" s="173"/>
      <c r="BF866" s="173"/>
      <c r="BG866" s="173"/>
      <c r="BH866" s="173"/>
      <c r="BI866" s="173"/>
      <c r="BJ866" s="173"/>
      <c r="BK866" s="173"/>
      <c r="BL866" s="173"/>
      <c r="BM866" s="173"/>
    </row>
    <row r="867" spans="1:65">
      <c r="A867" s="173"/>
      <c r="B867" s="173"/>
      <c r="C867" s="173"/>
      <c r="D867" s="173"/>
      <c r="E867" s="173"/>
      <c r="F867" s="173"/>
      <c r="G867" s="173"/>
      <c r="H867" s="173"/>
      <c r="I867" s="173"/>
      <c r="J867" s="173"/>
      <c r="K867" s="322"/>
      <c r="L867" s="173"/>
      <c r="M867" s="173"/>
      <c r="Q867" s="173"/>
      <c r="R867" s="173"/>
      <c r="S867" s="173"/>
      <c r="T867" s="173"/>
      <c r="U867" s="173"/>
      <c r="V867" s="173"/>
      <c r="W867" s="173"/>
      <c r="X867" s="173"/>
      <c r="Y867" s="173"/>
      <c r="Z867" s="173"/>
      <c r="AA867" s="173"/>
      <c r="AB867" s="173"/>
      <c r="AC867" s="173"/>
      <c r="AD867" s="173"/>
      <c r="AE867" s="173"/>
      <c r="AF867" s="173"/>
      <c r="AG867" s="173"/>
      <c r="AH867" s="173"/>
      <c r="AI867" s="173"/>
      <c r="AJ867" s="173"/>
      <c r="AK867" s="173"/>
      <c r="AL867" s="173"/>
      <c r="AM867" s="173"/>
      <c r="AN867" s="173"/>
      <c r="AO867" s="173"/>
      <c r="AP867" s="173"/>
      <c r="AQ867" s="173"/>
      <c r="AR867" s="173"/>
      <c r="AS867" s="173"/>
      <c r="AT867" s="173"/>
      <c r="AU867" s="173"/>
      <c r="AV867" s="173"/>
      <c r="AW867" s="173"/>
      <c r="AX867" s="173"/>
      <c r="AY867" s="173"/>
      <c r="AZ867" s="173"/>
      <c r="BA867" s="173"/>
      <c r="BB867" s="173"/>
      <c r="BC867" s="173"/>
      <c r="BD867" s="173"/>
      <c r="BE867" s="173"/>
      <c r="BF867" s="173"/>
      <c r="BG867" s="173"/>
      <c r="BH867" s="173"/>
      <c r="BI867" s="173"/>
      <c r="BJ867" s="173"/>
      <c r="BK867" s="173"/>
      <c r="BL867" s="173"/>
      <c r="BM867" s="173"/>
    </row>
    <row r="868" spans="1:65">
      <c r="A868" s="173"/>
      <c r="B868" s="173"/>
      <c r="C868" s="173"/>
      <c r="D868" s="173"/>
      <c r="E868" s="173"/>
      <c r="F868" s="173"/>
      <c r="G868" s="173"/>
      <c r="H868" s="173"/>
      <c r="I868" s="173"/>
      <c r="J868" s="173"/>
      <c r="K868" s="322"/>
      <c r="L868" s="173"/>
      <c r="M868" s="173"/>
      <c r="Q868" s="173"/>
      <c r="R868" s="173"/>
      <c r="S868" s="173"/>
      <c r="T868" s="173"/>
      <c r="U868" s="173"/>
      <c r="V868" s="173"/>
      <c r="W868" s="173"/>
      <c r="X868" s="173"/>
      <c r="Y868" s="173"/>
      <c r="Z868" s="173"/>
      <c r="AA868" s="173"/>
      <c r="AB868" s="173"/>
      <c r="AC868" s="173"/>
      <c r="AD868" s="173"/>
      <c r="AE868" s="173"/>
      <c r="AF868" s="173"/>
      <c r="AG868" s="173"/>
      <c r="AH868" s="173"/>
      <c r="AI868" s="173"/>
      <c r="AJ868" s="173"/>
      <c r="AK868" s="173"/>
      <c r="AL868" s="173"/>
      <c r="AM868" s="173"/>
      <c r="AN868" s="173"/>
      <c r="AO868" s="173"/>
      <c r="AP868" s="173"/>
      <c r="AQ868" s="173"/>
      <c r="AR868" s="173"/>
      <c r="AS868" s="173"/>
      <c r="AT868" s="173"/>
      <c r="AU868" s="173"/>
      <c r="AV868" s="173"/>
      <c r="AW868" s="173"/>
      <c r="AX868" s="173"/>
      <c r="AY868" s="173"/>
      <c r="AZ868" s="173"/>
      <c r="BA868" s="173"/>
      <c r="BB868" s="173"/>
      <c r="BC868" s="173"/>
      <c r="BD868" s="173"/>
      <c r="BE868" s="173"/>
      <c r="BF868" s="173"/>
      <c r="BG868" s="173"/>
      <c r="BH868" s="173"/>
      <c r="BI868" s="173"/>
      <c r="BJ868" s="173"/>
      <c r="BK868" s="173"/>
      <c r="BL868" s="173"/>
      <c r="BM868" s="173"/>
    </row>
    <row r="869" spans="1:65">
      <c r="A869" s="173"/>
      <c r="B869" s="173"/>
      <c r="C869" s="173"/>
      <c r="D869" s="173"/>
      <c r="E869" s="173"/>
      <c r="F869" s="173"/>
      <c r="G869" s="173"/>
      <c r="H869" s="173"/>
      <c r="I869" s="173"/>
      <c r="J869" s="173"/>
      <c r="K869" s="322"/>
      <c r="L869" s="173"/>
      <c r="M869" s="173"/>
      <c r="Q869" s="173"/>
      <c r="R869" s="173"/>
      <c r="S869" s="173"/>
      <c r="T869" s="173"/>
      <c r="U869" s="173"/>
      <c r="V869" s="173"/>
      <c r="W869" s="173"/>
      <c r="X869" s="173"/>
      <c r="Y869" s="173"/>
      <c r="Z869" s="173"/>
      <c r="AA869" s="173"/>
      <c r="AB869" s="173"/>
      <c r="AC869" s="173"/>
      <c r="AD869" s="173"/>
      <c r="AE869" s="173"/>
      <c r="AF869" s="173"/>
      <c r="AG869" s="173"/>
      <c r="AH869" s="173"/>
      <c r="AI869" s="173"/>
      <c r="AJ869" s="173"/>
      <c r="AK869" s="173"/>
      <c r="AL869" s="173"/>
      <c r="AM869" s="173"/>
      <c r="AN869" s="173"/>
      <c r="AO869" s="173"/>
      <c r="AP869" s="173"/>
      <c r="AQ869" s="173"/>
      <c r="AR869" s="173"/>
      <c r="AS869" s="173"/>
      <c r="AT869" s="173"/>
      <c r="AU869" s="173"/>
      <c r="AV869" s="173"/>
      <c r="AW869" s="173"/>
      <c r="AX869" s="173"/>
      <c r="AY869" s="173"/>
      <c r="AZ869" s="173"/>
      <c r="BA869" s="173"/>
      <c r="BB869" s="173"/>
      <c r="BC869" s="173"/>
      <c r="BD869" s="173"/>
      <c r="BE869" s="173"/>
      <c r="BF869" s="173"/>
      <c r="BG869" s="173"/>
      <c r="BH869" s="173"/>
      <c r="BI869" s="173"/>
      <c r="BJ869" s="173"/>
      <c r="BK869" s="173"/>
      <c r="BL869" s="173"/>
      <c r="BM869" s="173"/>
    </row>
    <row r="870" spans="1:65">
      <c r="A870" s="173"/>
      <c r="B870" s="173"/>
      <c r="C870" s="173"/>
      <c r="D870" s="173"/>
      <c r="E870" s="173"/>
      <c r="F870" s="173"/>
      <c r="G870" s="173"/>
      <c r="H870" s="173"/>
      <c r="I870" s="173"/>
      <c r="J870" s="173"/>
      <c r="K870" s="322"/>
      <c r="L870" s="173"/>
      <c r="M870" s="173"/>
      <c r="Q870" s="173"/>
      <c r="R870" s="173"/>
      <c r="S870" s="173"/>
      <c r="T870" s="173"/>
      <c r="U870" s="173"/>
      <c r="V870" s="173"/>
      <c r="W870" s="173"/>
      <c r="X870" s="173"/>
      <c r="Y870" s="173"/>
      <c r="Z870" s="173"/>
      <c r="AA870" s="173"/>
      <c r="AB870" s="173"/>
      <c r="AC870" s="173"/>
      <c r="AD870" s="173"/>
      <c r="AE870" s="173"/>
      <c r="AF870" s="173"/>
      <c r="AG870" s="173"/>
      <c r="AH870" s="173"/>
      <c r="AI870" s="173"/>
      <c r="AJ870" s="173"/>
      <c r="AK870" s="173"/>
      <c r="AL870" s="173"/>
      <c r="AM870" s="173"/>
      <c r="AN870" s="173"/>
      <c r="AO870" s="173"/>
      <c r="AP870" s="173"/>
      <c r="AQ870" s="173"/>
      <c r="AR870" s="173"/>
      <c r="AS870" s="173"/>
      <c r="AT870" s="173"/>
      <c r="AU870" s="173"/>
      <c r="AV870" s="173"/>
      <c r="AW870" s="173"/>
      <c r="AX870" s="173"/>
      <c r="AY870" s="173"/>
      <c r="AZ870" s="173"/>
      <c r="BA870" s="173"/>
      <c r="BB870" s="173"/>
      <c r="BC870" s="173"/>
      <c r="BD870" s="173"/>
      <c r="BE870" s="173"/>
      <c r="BF870" s="173"/>
      <c r="BG870" s="173"/>
      <c r="BH870" s="173"/>
      <c r="BI870" s="173"/>
      <c r="BJ870" s="173"/>
      <c r="BK870" s="173"/>
      <c r="BL870" s="173"/>
      <c r="BM870" s="173"/>
    </row>
    <row r="871" spans="1:65">
      <c r="A871" s="173"/>
      <c r="B871" s="173"/>
      <c r="C871" s="173"/>
      <c r="D871" s="173"/>
      <c r="E871" s="173"/>
      <c r="F871" s="173"/>
      <c r="G871" s="173"/>
      <c r="H871" s="173"/>
      <c r="I871" s="173"/>
      <c r="J871" s="173"/>
      <c r="K871" s="322"/>
      <c r="L871" s="173"/>
      <c r="M871" s="173"/>
      <c r="Q871" s="173"/>
      <c r="R871" s="173"/>
      <c r="S871" s="173"/>
      <c r="T871" s="173"/>
      <c r="U871" s="173"/>
      <c r="V871" s="173"/>
      <c r="W871" s="173"/>
      <c r="X871" s="173"/>
      <c r="Y871" s="173"/>
      <c r="Z871" s="173"/>
      <c r="AA871" s="173"/>
      <c r="AB871" s="173"/>
      <c r="AC871" s="173"/>
      <c r="AD871" s="173"/>
      <c r="AE871" s="173"/>
      <c r="AF871" s="173"/>
      <c r="AG871" s="173"/>
      <c r="AH871" s="173"/>
      <c r="AI871" s="173"/>
      <c r="AJ871" s="173"/>
      <c r="AK871" s="173"/>
      <c r="AL871" s="173"/>
      <c r="AM871" s="173"/>
      <c r="AN871" s="173"/>
      <c r="AO871" s="173"/>
      <c r="AP871" s="173"/>
      <c r="AQ871" s="173"/>
      <c r="AR871" s="173"/>
      <c r="AS871" s="173"/>
      <c r="AT871" s="173"/>
      <c r="AU871" s="173"/>
      <c r="AV871" s="173"/>
      <c r="AW871" s="173"/>
      <c r="AX871" s="173"/>
      <c r="AY871" s="173"/>
      <c r="AZ871" s="173"/>
      <c r="BA871" s="173"/>
      <c r="BB871" s="173"/>
      <c r="BC871" s="173"/>
      <c r="BD871" s="173"/>
      <c r="BE871" s="173"/>
      <c r="BF871" s="173"/>
      <c r="BG871" s="173"/>
      <c r="BH871" s="173"/>
      <c r="BI871" s="173"/>
      <c r="BJ871" s="173"/>
      <c r="BK871" s="173"/>
      <c r="BL871" s="173"/>
      <c r="BM871" s="173"/>
    </row>
    <row r="872" spans="1:65">
      <c r="A872" s="173"/>
      <c r="B872" s="173"/>
      <c r="C872" s="173"/>
      <c r="D872" s="173"/>
      <c r="E872" s="173"/>
      <c r="F872" s="173"/>
      <c r="G872" s="173"/>
      <c r="H872" s="173"/>
      <c r="I872" s="173"/>
      <c r="J872" s="173"/>
      <c r="K872" s="322"/>
      <c r="L872" s="173"/>
      <c r="M872" s="173"/>
      <c r="Q872" s="173"/>
      <c r="R872" s="173"/>
      <c r="S872" s="173"/>
      <c r="T872" s="173"/>
      <c r="U872" s="173"/>
      <c r="V872" s="173"/>
      <c r="W872" s="173"/>
      <c r="X872" s="173"/>
      <c r="Y872" s="173"/>
      <c r="Z872" s="173"/>
      <c r="AA872" s="173"/>
      <c r="AB872" s="173"/>
      <c r="AC872" s="173"/>
      <c r="AD872" s="173"/>
      <c r="AE872" s="173"/>
      <c r="AF872" s="173"/>
      <c r="AG872" s="173"/>
      <c r="AH872" s="173"/>
      <c r="AI872" s="173"/>
      <c r="AJ872" s="173"/>
      <c r="AK872" s="173"/>
      <c r="AL872" s="173"/>
      <c r="AM872" s="173"/>
      <c r="AN872" s="173"/>
      <c r="AO872" s="173"/>
      <c r="AP872" s="173"/>
      <c r="AQ872" s="173"/>
      <c r="AR872" s="173"/>
      <c r="AS872" s="173"/>
      <c r="AT872" s="173"/>
      <c r="AU872" s="173"/>
      <c r="AV872" s="173"/>
      <c r="AW872" s="173"/>
      <c r="AX872" s="173"/>
      <c r="AY872" s="173"/>
      <c r="AZ872" s="173"/>
      <c r="BA872" s="173"/>
      <c r="BB872" s="173"/>
      <c r="BC872" s="173"/>
      <c r="BD872" s="173"/>
      <c r="BE872" s="173"/>
      <c r="BF872" s="173"/>
      <c r="BG872" s="173"/>
      <c r="BH872" s="173"/>
      <c r="BI872" s="173"/>
      <c r="BJ872" s="173"/>
      <c r="BK872" s="173"/>
      <c r="BL872" s="173"/>
      <c r="BM872" s="173"/>
    </row>
    <row r="873" spans="1:65">
      <c r="A873" s="173"/>
      <c r="B873" s="173"/>
      <c r="C873" s="173"/>
      <c r="D873" s="173"/>
      <c r="E873" s="173"/>
      <c r="F873" s="173"/>
      <c r="G873" s="173"/>
      <c r="H873" s="173"/>
      <c r="I873" s="173"/>
      <c r="J873" s="173"/>
      <c r="K873" s="322"/>
      <c r="L873" s="173"/>
      <c r="M873" s="173"/>
      <c r="Q873" s="173"/>
      <c r="R873" s="173"/>
      <c r="S873" s="173"/>
      <c r="T873" s="173"/>
      <c r="U873" s="173"/>
      <c r="V873" s="173"/>
      <c r="W873" s="173"/>
      <c r="X873" s="173"/>
      <c r="Y873" s="173"/>
      <c r="Z873" s="173"/>
      <c r="AA873" s="173"/>
      <c r="AB873" s="173"/>
      <c r="AC873" s="173"/>
      <c r="AD873" s="173"/>
      <c r="AE873" s="173"/>
      <c r="AF873" s="173"/>
      <c r="AG873" s="173"/>
      <c r="AH873" s="173"/>
      <c r="AI873" s="173"/>
      <c r="AJ873" s="173"/>
      <c r="AK873" s="173"/>
      <c r="AL873" s="173"/>
      <c r="AM873" s="173"/>
      <c r="AN873" s="173"/>
      <c r="AO873" s="173"/>
      <c r="AP873" s="173"/>
      <c r="AQ873" s="173"/>
      <c r="AR873" s="173"/>
      <c r="AS873" s="173"/>
      <c r="AT873" s="173"/>
      <c r="AU873" s="173"/>
      <c r="AV873" s="173"/>
      <c r="AW873" s="173"/>
      <c r="AX873" s="173"/>
      <c r="AY873" s="173"/>
      <c r="AZ873" s="173"/>
      <c r="BA873" s="173"/>
      <c r="BB873" s="173"/>
      <c r="BC873" s="173"/>
      <c r="BD873" s="173"/>
      <c r="BE873" s="173"/>
      <c r="BF873" s="173"/>
      <c r="BG873" s="173"/>
      <c r="BH873" s="173"/>
      <c r="BI873" s="173"/>
      <c r="BJ873" s="173"/>
      <c r="BK873" s="173"/>
      <c r="BL873" s="173"/>
      <c r="BM873" s="173"/>
    </row>
    <row r="874" spans="1:65">
      <c r="A874" s="173"/>
      <c r="B874" s="173"/>
      <c r="C874" s="173"/>
      <c r="D874" s="173"/>
      <c r="E874" s="173"/>
      <c r="F874" s="173"/>
      <c r="G874" s="173"/>
      <c r="H874" s="173"/>
      <c r="I874" s="173"/>
      <c r="J874" s="173"/>
      <c r="K874" s="322"/>
      <c r="L874" s="173"/>
      <c r="M874" s="173"/>
      <c r="Q874" s="173"/>
      <c r="R874" s="173"/>
      <c r="S874" s="173"/>
      <c r="T874" s="173"/>
      <c r="U874" s="173"/>
      <c r="V874" s="173"/>
      <c r="W874" s="173"/>
      <c r="X874" s="173"/>
      <c r="Y874" s="173"/>
      <c r="Z874" s="173"/>
      <c r="AA874" s="173"/>
      <c r="AB874" s="173"/>
      <c r="AC874" s="173"/>
      <c r="AD874" s="173"/>
      <c r="AE874" s="173"/>
      <c r="AF874" s="173"/>
      <c r="AG874" s="173"/>
      <c r="AH874" s="173"/>
      <c r="AI874" s="173"/>
      <c r="AJ874" s="173"/>
      <c r="AK874" s="173"/>
      <c r="AL874" s="173"/>
      <c r="AM874" s="173"/>
      <c r="AN874" s="173"/>
      <c r="AO874" s="173"/>
      <c r="AP874" s="173"/>
      <c r="AQ874" s="173"/>
      <c r="AR874" s="173"/>
      <c r="AS874" s="173"/>
      <c r="AT874" s="173"/>
      <c r="AU874" s="173"/>
      <c r="AV874" s="173"/>
      <c r="AW874" s="173"/>
      <c r="AX874" s="173"/>
      <c r="AY874" s="173"/>
      <c r="AZ874" s="173"/>
      <c r="BA874" s="173"/>
      <c r="BB874" s="173"/>
      <c r="BC874" s="173"/>
      <c r="BD874" s="173"/>
      <c r="BE874" s="173"/>
      <c r="BF874" s="173"/>
      <c r="BG874" s="173"/>
      <c r="BH874" s="173"/>
      <c r="BI874" s="173"/>
      <c r="BJ874" s="173"/>
      <c r="BK874" s="173"/>
      <c r="BL874" s="173"/>
      <c r="BM874" s="173"/>
    </row>
    <row r="875" spans="1:65">
      <c r="A875" s="173"/>
      <c r="B875" s="173"/>
      <c r="C875" s="173"/>
      <c r="D875" s="173"/>
      <c r="E875" s="173"/>
      <c r="F875" s="173"/>
      <c r="G875" s="173"/>
      <c r="H875" s="173"/>
      <c r="I875" s="173"/>
      <c r="J875" s="173"/>
      <c r="K875" s="322"/>
      <c r="L875" s="173"/>
      <c r="M875" s="173"/>
      <c r="Q875" s="173"/>
      <c r="R875" s="173"/>
      <c r="S875" s="173"/>
      <c r="T875" s="173"/>
      <c r="U875" s="173"/>
      <c r="V875" s="173"/>
      <c r="W875" s="173"/>
      <c r="X875" s="173"/>
      <c r="Y875" s="173"/>
      <c r="Z875" s="173"/>
      <c r="AA875" s="173"/>
      <c r="AB875" s="173"/>
      <c r="AC875" s="173"/>
      <c r="AD875" s="173"/>
      <c r="AE875" s="173"/>
      <c r="AF875" s="173"/>
      <c r="AG875" s="173"/>
      <c r="AH875" s="173"/>
      <c r="AI875" s="173"/>
      <c r="AJ875" s="173"/>
      <c r="AK875" s="173"/>
      <c r="AL875" s="173"/>
      <c r="AM875" s="173"/>
      <c r="AN875" s="173"/>
      <c r="AO875" s="173"/>
      <c r="AP875" s="173"/>
      <c r="AQ875" s="173"/>
      <c r="AR875" s="173"/>
      <c r="AS875" s="173"/>
      <c r="AT875" s="173"/>
      <c r="AU875" s="173"/>
      <c r="AV875" s="173"/>
      <c r="AW875" s="173"/>
      <c r="AX875" s="173"/>
      <c r="AY875" s="173"/>
      <c r="AZ875" s="173"/>
      <c r="BA875" s="173"/>
      <c r="BB875" s="173"/>
      <c r="BC875" s="173"/>
      <c r="BD875" s="173"/>
      <c r="BE875" s="173"/>
      <c r="BF875" s="173"/>
      <c r="BG875" s="173"/>
      <c r="BH875" s="173"/>
      <c r="BI875" s="173"/>
      <c r="BJ875" s="173"/>
      <c r="BK875" s="173"/>
      <c r="BL875" s="173"/>
      <c r="BM875" s="173"/>
    </row>
    <row r="876" spans="1:65">
      <c r="A876" s="173"/>
      <c r="B876" s="173"/>
      <c r="C876" s="173"/>
      <c r="D876" s="173"/>
      <c r="E876" s="173"/>
      <c r="F876" s="173"/>
      <c r="G876" s="173"/>
      <c r="H876" s="173"/>
      <c r="I876" s="173"/>
      <c r="J876" s="173"/>
      <c r="K876" s="322"/>
      <c r="L876" s="173"/>
      <c r="M876" s="173"/>
      <c r="Q876" s="173"/>
      <c r="R876" s="173"/>
      <c r="S876" s="173"/>
      <c r="T876" s="173"/>
      <c r="U876" s="173"/>
      <c r="V876" s="173"/>
      <c r="W876" s="173"/>
      <c r="X876" s="173"/>
      <c r="Y876" s="173"/>
      <c r="Z876" s="173"/>
      <c r="AA876" s="173"/>
      <c r="AB876" s="173"/>
      <c r="AC876" s="173"/>
      <c r="AD876" s="173"/>
      <c r="AE876" s="173"/>
      <c r="AF876" s="173"/>
      <c r="AG876" s="173"/>
      <c r="AH876" s="173"/>
      <c r="AI876" s="173"/>
      <c r="AJ876" s="173"/>
      <c r="AK876" s="173"/>
      <c r="AL876" s="173"/>
      <c r="AM876" s="173"/>
      <c r="AN876" s="173"/>
      <c r="AO876" s="173"/>
      <c r="AP876" s="173"/>
      <c r="AQ876" s="173"/>
      <c r="AR876" s="173"/>
      <c r="AS876" s="173"/>
      <c r="AT876" s="173"/>
      <c r="AU876" s="173"/>
      <c r="AV876" s="173"/>
      <c r="AW876" s="173"/>
      <c r="AX876" s="173"/>
      <c r="AY876" s="173"/>
      <c r="AZ876" s="173"/>
      <c r="BA876" s="173"/>
      <c r="BB876" s="173"/>
      <c r="BC876" s="173"/>
      <c r="BD876" s="173"/>
      <c r="BE876" s="173"/>
      <c r="BF876" s="173"/>
      <c r="BG876" s="173"/>
      <c r="BH876" s="173"/>
      <c r="BI876" s="173"/>
      <c r="BJ876" s="173"/>
      <c r="BK876" s="173"/>
      <c r="BL876" s="173"/>
      <c r="BM876" s="173"/>
    </row>
    <row r="877" spans="1:65">
      <c r="A877" s="173"/>
      <c r="B877" s="173"/>
      <c r="C877" s="173"/>
      <c r="D877" s="173"/>
      <c r="E877" s="173"/>
      <c r="F877" s="173"/>
      <c r="G877" s="173"/>
      <c r="H877" s="173"/>
      <c r="I877" s="173"/>
      <c r="J877" s="173"/>
      <c r="K877" s="322"/>
      <c r="L877" s="173"/>
      <c r="M877" s="173"/>
      <c r="Q877" s="173"/>
      <c r="R877" s="173"/>
      <c r="S877" s="173"/>
      <c r="T877" s="173"/>
      <c r="U877" s="173"/>
      <c r="V877" s="173"/>
      <c r="W877" s="173"/>
      <c r="X877" s="173"/>
      <c r="Y877" s="173"/>
      <c r="Z877" s="173"/>
      <c r="AA877" s="173"/>
      <c r="AB877" s="173"/>
      <c r="AC877" s="173"/>
      <c r="AD877" s="173"/>
      <c r="AE877" s="173"/>
      <c r="AF877" s="173"/>
      <c r="AG877" s="173"/>
      <c r="AH877" s="173"/>
      <c r="AI877" s="173"/>
      <c r="AJ877" s="173"/>
      <c r="AK877" s="173"/>
      <c r="AL877" s="173"/>
      <c r="AM877" s="173"/>
      <c r="AN877" s="173"/>
      <c r="AO877" s="173"/>
      <c r="AP877" s="173"/>
      <c r="AQ877" s="173"/>
      <c r="AR877" s="173"/>
      <c r="AS877" s="173"/>
      <c r="AT877" s="173"/>
      <c r="AU877" s="173"/>
      <c r="AV877" s="173"/>
      <c r="AW877" s="173"/>
      <c r="AX877" s="173"/>
      <c r="AY877" s="173"/>
      <c r="AZ877" s="173"/>
      <c r="BA877" s="173"/>
      <c r="BB877" s="173"/>
      <c r="BC877" s="173"/>
      <c r="BD877" s="173"/>
      <c r="BE877" s="173"/>
      <c r="BF877" s="173"/>
      <c r="BG877" s="173"/>
      <c r="BH877" s="173"/>
      <c r="BI877" s="173"/>
      <c r="BJ877" s="173"/>
      <c r="BK877" s="173"/>
      <c r="BL877" s="173"/>
      <c r="BM877" s="173"/>
    </row>
    <row r="878" spans="1:65">
      <c r="A878" s="173"/>
      <c r="B878" s="173"/>
      <c r="C878" s="173"/>
      <c r="D878" s="173"/>
      <c r="E878" s="173"/>
      <c r="F878" s="173"/>
      <c r="G878" s="173"/>
      <c r="H878" s="173"/>
      <c r="I878" s="173"/>
      <c r="J878" s="173"/>
      <c r="K878" s="322"/>
      <c r="L878" s="173"/>
      <c r="M878" s="173"/>
      <c r="Q878" s="173"/>
      <c r="R878" s="173"/>
      <c r="S878" s="173"/>
      <c r="T878" s="173"/>
      <c r="U878" s="173"/>
      <c r="V878" s="173"/>
      <c r="W878" s="173"/>
      <c r="X878" s="173"/>
      <c r="Y878" s="173"/>
      <c r="Z878" s="173"/>
      <c r="AA878" s="173"/>
      <c r="AB878" s="173"/>
      <c r="AC878" s="173"/>
      <c r="AD878" s="173"/>
      <c r="AE878" s="173"/>
      <c r="AF878" s="173"/>
      <c r="AG878" s="173"/>
      <c r="AH878" s="173"/>
      <c r="AI878" s="173"/>
      <c r="AJ878" s="173"/>
      <c r="AK878" s="173"/>
      <c r="AL878" s="173"/>
      <c r="AM878" s="173"/>
      <c r="AN878" s="173"/>
      <c r="AO878" s="173"/>
      <c r="AP878" s="173"/>
      <c r="AQ878" s="173"/>
      <c r="AR878" s="173"/>
      <c r="AS878" s="173"/>
      <c r="AT878" s="173"/>
      <c r="AU878" s="173"/>
      <c r="AV878" s="173"/>
      <c r="AW878" s="173"/>
      <c r="AX878" s="173"/>
      <c r="AY878" s="173"/>
      <c r="AZ878" s="173"/>
      <c r="BA878" s="173"/>
      <c r="BB878" s="173"/>
      <c r="BC878" s="173"/>
      <c r="BD878" s="173"/>
      <c r="BE878" s="173"/>
      <c r="BF878" s="173"/>
      <c r="BG878" s="173"/>
      <c r="BH878" s="173"/>
      <c r="BI878" s="173"/>
      <c r="BJ878" s="173"/>
      <c r="BK878" s="173"/>
      <c r="BL878" s="173"/>
      <c r="BM878" s="173"/>
    </row>
    <row r="879" spans="1:65">
      <c r="A879" s="173"/>
      <c r="B879" s="173"/>
      <c r="C879" s="173"/>
      <c r="D879" s="173"/>
      <c r="E879" s="173"/>
      <c r="F879" s="173"/>
      <c r="G879" s="173"/>
      <c r="H879" s="173"/>
      <c r="I879" s="173"/>
      <c r="J879" s="173"/>
      <c r="K879" s="322"/>
      <c r="L879" s="173"/>
      <c r="M879" s="173"/>
      <c r="Q879" s="173"/>
      <c r="R879" s="173"/>
      <c r="S879" s="173"/>
      <c r="T879" s="173"/>
      <c r="U879" s="173"/>
      <c r="V879" s="173"/>
      <c r="W879" s="173"/>
      <c r="X879" s="173"/>
      <c r="Y879" s="173"/>
      <c r="Z879" s="173"/>
      <c r="AA879" s="173"/>
      <c r="AB879" s="173"/>
      <c r="AC879" s="173"/>
      <c r="AD879" s="173"/>
      <c r="AE879" s="173"/>
      <c r="AF879" s="173"/>
      <c r="AG879" s="173"/>
      <c r="AH879" s="173"/>
      <c r="AI879" s="173"/>
      <c r="AJ879" s="173"/>
      <c r="AK879" s="173"/>
      <c r="AL879" s="173"/>
      <c r="AM879" s="173"/>
      <c r="AN879" s="173"/>
      <c r="AO879" s="173"/>
      <c r="AP879" s="173"/>
      <c r="AQ879" s="173"/>
      <c r="AR879" s="173"/>
      <c r="AS879" s="173"/>
      <c r="AT879" s="173"/>
      <c r="AU879" s="173"/>
      <c r="AV879" s="173"/>
      <c r="AW879" s="173"/>
      <c r="AX879" s="173"/>
      <c r="AY879" s="173"/>
      <c r="AZ879" s="173"/>
      <c r="BA879" s="173"/>
      <c r="BB879" s="173"/>
      <c r="BC879" s="173"/>
      <c r="BD879" s="173"/>
      <c r="BE879" s="173"/>
      <c r="BF879" s="173"/>
      <c r="BG879" s="173"/>
      <c r="BH879" s="173"/>
      <c r="BI879" s="173"/>
      <c r="BJ879" s="173"/>
      <c r="BK879" s="173"/>
      <c r="BL879" s="173"/>
      <c r="BM879" s="173"/>
    </row>
    <row r="880" spans="1:65">
      <c r="A880" s="173"/>
      <c r="B880" s="173"/>
      <c r="C880" s="173"/>
      <c r="D880" s="173"/>
      <c r="E880" s="173"/>
      <c r="F880" s="173"/>
      <c r="G880" s="173"/>
      <c r="H880" s="173"/>
      <c r="I880" s="173"/>
      <c r="J880" s="173"/>
      <c r="K880" s="322"/>
      <c r="L880" s="173"/>
      <c r="M880" s="173"/>
      <c r="Q880" s="173"/>
      <c r="R880" s="173"/>
      <c r="S880" s="173"/>
      <c r="T880" s="173"/>
      <c r="U880" s="173"/>
      <c r="V880" s="173"/>
      <c r="W880" s="173"/>
      <c r="X880" s="173"/>
      <c r="Y880" s="173"/>
      <c r="Z880" s="173"/>
      <c r="AA880" s="173"/>
      <c r="AB880" s="173"/>
      <c r="AC880" s="173"/>
      <c r="AD880" s="173"/>
      <c r="AE880" s="173"/>
      <c r="AF880" s="173"/>
      <c r="AG880" s="173"/>
      <c r="AH880" s="173"/>
      <c r="AI880" s="173"/>
      <c r="AJ880" s="173"/>
      <c r="AK880" s="173"/>
      <c r="AL880" s="173"/>
      <c r="AM880" s="173"/>
      <c r="AN880" s="173"/>
      <c r="AO880" s="173"/>
      <c r="AP880" s="173"/>
      <c r="AQ880" s="173"/>
      <c r="AR880" s="173"/>
      <c r="AS880" s="173"/>
      <c r="AT880" s="173"/>
      <c r="AU880" s="173"/>
      <c r="AV880" s="173"/>
      <c r="AW880" s="173"/>
      <c r="AX880" s="173"/>
      <c r="AY880" s="173"/>
      <c r="AZ880" s="173"/>
      <c r="BA880" s="173"/>
      <c r="BB880" s="173"/>
      <c r="BC880" s="173"/>
      <c r="BD880" s="173"/>
      <c r="BE880" s="173"/>
      <c r="BF880" s="173"/>
      <c r="BG880" s="173"/>
      <c r="BH880" s="173"/>
      <c r="BI880" s="173"/>
      <c r="BJ880" s="173"/>
      <c r="BK880" s="173"/>
      <c r="BL880" s="173"/>
      <c r="BM880" s="173"/>
    </row>
    <row r="881" spans="1:65">
      <c r="A881" s="173"/>
      <c r="B881" s="173"/>
      <c r="C881" s="173"/>
      <c r="D881" s="173"/>
      <c r="E881" s="173"/>
      <c r="F881" s="173"/>
      <c r="G881" s="173"/>
      <c r="H881" s="173"/>
      <c r="I881" s="173"/>
      <c r="J881" s="173"/>
      <c r="K881" s="322"/>
      <c r="L881" s="173"/>
      <c r="M881" s="173"/>
      <c r="Q881" s="173"/>
      <c r="R881" s="173"/>
      <c r="S881" s="173"/>
      <c r="T881" s="173"/>
      <c r="U881" s="173"/>
      <c r="V881" s="173"/>
      <c r="W881" s="173"/>
      <c r="X881" s="173"/>
      <c r="Y881" s="173"/>
      <c r="Z881" s="173"/>
      <c r="AA881" s="173"/>
      <c r="AB881" s="173"/>
      <c r="AC881" s="173"/>
      <c r="AD881" s="173"/>
      <c r="AE881" s="173"/>
      <c r="AF881" s="173"/>
      <c r="AG881" s="173"/>
      <c r="AH881" s="173"/>
      <c r="AI881" s="173"/>
      <c r="AJ881" s="173"/>
      <c r="AK881" s="173"/>
      <c r="AL881" s="173"/>
      <c r="AM881" s="173"/>
      <c r="AN881" s="173"/>
      <c r="AO881" s="173"/>
      <c r="AP881" s="173"/>
      <c r="AQ881" s="173"/>
      <c r="AR881" s="173"/>
      <c r="AS881" s="173"/>
      <c r="AT881" s="173"/>
      <c r="AU881" s="173"/>
      <c r="AV881" s="173"/>
      <c r="AW881" s="173"/>
      <c r="AX881" s="173"/>
      <c r="AY881" s="173"/>
      <c r="AZ881" s="173"/>
      <c r="BA881" s="173"/>
      <c r="BB881" s="173"/>
      <c r="BC881" s="173"/>
      <c r="BD881" s="173"/>
      <c r="BE881" s="173"/>
      <c r="BF881" s="173"/>
      <c r="BG881" s="173"/>
      <c r="BH881" s="173"/>
      <c r="BI881" s="173"/>
      <c r="BJ881" s="173"/>
      <c r="BK881" s="173"/>
      <c r="BL881" s="173"/>
      <c r="BM881" s="173"/>
    </row>
    <row r="882" spans="1:65">
      <c r="A882" s="173"/>
      <c r="B882" s="173"/>
      <c r="C882" s="173"/>
      <c r="D882" s="173"/>
      <c r="E882" s="173"/>
      <c r="F882" s="173"/>
      <c r="G882" s="173"/>
      <c r="H882" s="173"/>
      <c r="I882" s="173"/>
      <c r="J882" s="173"/>
      <c r="K882" s="322"/>
      <c r="L882" s="173"/>
      <c r="M882" s="173"/>
      <c r="Q882" s="173"/>
      <c r="R882" s="173"/>
      <c r="S882" s="173"/>
      <c r="T882" s="173"/>
      <c r="U882" s="173"/>
      <c r="V882" s="173"/>
      <c r="W882" s="173"/>
      <c r="X882" s="173"/>
      <c r="Y882" s="173"/>
      <c r="Z882" s="173"/>
      <c r="AA882" s="173"/>
      <c r="AB882" s="173"/>
      <c r="AC882" s="173"/>
      <c r="AD882" s="173"/>
      <c r="AE882" s="173"/>
      <c r="AF882" s="173"/>
      <c r="AG882" s="173"/>
      <c r="AH882" s="173"/>
      <c r="AI882" s="173"/>
      <c r="AJ882" s="173"/>
      <c r="AK882" s="173"/>
      <c r="AL882" s="173"/>
      <c r="AM882" s="173"/>
      <c r="AN882" s="173"/>
      <c r="AO882" s="173"/>
      <c r="AP882" s="173"/>
      <c r="AQ882" s="173"/>
      <c r="AR882" s="173"/>
      <c r="AS882" s="173"/>
      <c r="AT882" s="173"/>
      <c r="AU882" s="173"/>
      <c r="AV882" s="173"/>
      <c r="AW882" s="173"/>
      <c r="AX882" s="173"/>
      <c r="AY882" s="173"/>
      <c r="AZ882" s="173"/>
      <c r="BA882" s="173"/>
      <c r="BB882" s="173"/>
      <c r="BC882" s="173"/>
      <c r="BD882" s="173"/>
      <c r="BE882" s="173"/>
      <c r="BF882" s="173"/>
      <c r="BG882" s="173"/>
      <c r="BH882" s="173"/>
      <c r="BI882" s="173"/>
      <c r="BJ882" s="173"/>
      <c r="BK882" s="173"/>
      <c r="BL882" s="173"/>
      <c r="BM882" s="173"/>
    </row>
    <row r="883" spans="1:65">
      <c r="A883" s="173"/>
      <c r="B883" s="173"/>
      <c r="C883" s="173"/>
      <c r="D883" s="173"/>
      <c r="E883" s="173"/>
      <c r="F883" s="173"/>
      <c r="G883" s="173"/>
      <c r="H883" s="173"/>
      <c r="I883" s="173"/>
      <c r="J883" s="173"/>
      <c r="K883" s="322"/>
      <c r="L883" s="173"/>
      <c r="M883" s="173"/>
      <c r="Q883" s="173"/>
      <c r="R883" s="173"/>
      <c r="S883" s="173"/>
      <c r="T883" s="173"/>
      <c r="U883" s="173"/>
      <c r="V883" s="173"/>
      <c r="W883" s="173"/>
      <c r="X883" s="173"/>
      <c r="Y883" s="173"/>
      <c r="Z883" s="173"/>
      <c r="AA883" s="173"/>
      <c r="AB883" s="173"/>
      <c r="AC883" s="173"/>
      <c r="AD883" s="173"/>
      <c r="AE883" s="173"/>
      <c r="AF883" s="173"/>
      <c r="AG883" s="173"/>
      <c r="AH883" s="173"/>
      <c r="AI883" s="173"/>
      <c r="AJ883" s="173"/>
      <c r="AK883" s="173"/>
      <c r="AL883" s="173"/>
      <c r="AM883" s="173"/>
      <c r="AN883" s="173"/>
      <c r="AO883" s="173"/>
      <c r="AP883" s="173"/>
      <c r="AQ883" s="173"/>
      <c r="AR883" s="173"/>
      <c r="AS883" s="173"/>
      <c r="AT883" s="173"/>
      <c r="AU883" s="173"/>
      <c r="AV883" s="173"/>
      <c r="AW883" s="173"/>
      <c r="AX883" s="173"/>
      <c r="AY883" s="173"/>
      <c r="AZ883" s="173"/>
      <c r="BA883" s="173"/>
      <c r="BB883" s="173"/>
      <c r="BC883" s="173"/>
      <c r="BD883" s="173"/>
      <c r="BE883" s="173"/>
      <c r="BF883" s="173"/>
      <c r="BG883" s="173"/>
      <c r="BH883" s="173"/>
      <c r="BI883" s="173"/>
      <c r="BJ883" s="173"/>
      <c r="BK883" s="173"/>
      <c r="BL883" s="173"/>
      <c r="BM883" s="173"/>
    </row>
    <row r="884" spans="1:65">
      <c r="A884" s="173"/>
      <c r="B884" s="173"/>
      <c r="C884" s="173"/>
      <c r="D884" s="173"/>
      <c r="E884" s="173"/>
      <c r="F884" s="173"/>
      <c r="G884" s="173"/>
      <c r="H884" s="173"/>
      <c r="I884" s="173"/>
      <c r="J884" s="173"/>
      <c r="K884" s="322"/>
      <c r="L884" s="173"/>
      <c r="M884" s="173"/>
      <c r="Q884" s="173"/>
      <c r="R884" s="173"/>
      <c r="S884" s="173"/>
      <c r="T884" s="173"/>
      <c r="U884" s="173"/>
      <c r="V884" s="173"/>
      <c r="W884" s="173"/>
      <c r="X884" s="173"/>
      <c r="Y884" s="173"/>
      <c r="Z884" s="173"/>
      <c r="AA884" s="173"/>
      <c r="AB884" s="173"/>
      <c r="AC884" s="173"/>
      <c r="AD884" s="173"/>
      <c r="AE884" s="173"/>
      <c r="AF884" s="173"/>
      <c r="AG884" s="173"/>
      <c r="AH884" s="173"/>
      <c r="AI884" s="173"/>
      <c r="AJ884" s="173"/>
      <c r="AK884" s="173"/>
      <c r="AL884" s="173"/>
      <c r="AM884" s="173"/>
      <c r="AN884" s="173"/>
      <c r="AO884" s="173"/>
      <c r="AP884" s="173"/>
      <c r="AQ884" s="173"/>
      <c r="AR884" s="173"/>
      <c r="AS884" s="173"/>
      <c r="AT884" s="173"/>
      <c r="AU884" s="173"/>
      <c r="AV884" s="173"/>
      <c r="AW884" s="173"/>
      <c r="AX884" s="173"/>
      <c r="AY884" s="173"/>
      <c r="AZ884" s="173"/>
      <c r="BA884" s="173"/>
      <c r="BB884" s="173"/>
      <c r="BC884" s="173"/>
      <c r="BD884" s="173"/>
      <c r="BE884" s="173"/>
      <c r="BF884" s="173"/>
      <c r="BG884" s="173"/>
      <c r="BH884" s="173"/>
      <c r="BI884" s="173"/>
      <c r="BJ884" s="173"/>
      <c r="BK884" s="173"/>
      <c r="BL884" s="173"/>
      <c r="BM884" s="173"/>
    </row>
    <row r="885" spans="1:65">
      <c r="A885" s="173"/>
      <c r="B885" s="173"/>
      <c r="C885" s="173"/>
      <c r="D885" s="173"/>
      <c r="E885" s="173"/>
      <c r="F885" s="173"/>
      <c r="G885" s="173"/>
      <c r="H885" s="173"/>
      <c r="I885" s="173"/>
      <c r="J885" s="173"/>
      <c r="K885" s="322"/>
      <c r="L885" s="173"/>
      <c r="M885" s="173"/>
      <c r="Q885" s="173"/>
      <c r="R885" s="173"/>
      <c r="S885" s="173"/>
      <c r="T885" s="173"/>
      <c r="U885" s="173"/>
      <c r="V885" s="173"/>
      <c r="W885" s="173"/>
      <c r="X885" s="173"/>
      <c r="Y885" s="173"/>
      <c r="Z885" s="173"/>
      <c r="AA885" s="173"/>
      <c r="AB885" s="173"/>
      <c r="AC885" s="173"/>
      <c r="AD885" s="173"/>
      <c r="AE885" s="173"/>
      <c r="AF885" s="173"/>
      <c r="AG885" s="173"/>
      <c r="AH885" s="173"/>
      <c r="AI885" s="173"/>
      <c r="AJ885" s="173"/>
      <c r="AK885" s="173"/>
      <c r="AL885" s="173"/>
      <c r="AM885" s="173"/>
      <c r="AN885" s="173"/>
      <c r="AO885" s="173"/>
      <c r="AP885" s="173"/>
      <c r="AQ885" s="173"/>
      <c r="AR885" s="173"/>
      <c r="AS885" s="173"/>
      <c r="AT885" s="173"/>
      <c r="AU885" s="173"/>
      <c r="AV885" s="173"/>
      <c r="AW885" s="173"/>
      <c r="AX885" s="173"/>
      <c r="AY885" s="173"/>
      <c r="AZ885" s="173"/>
      <c r="BA885" s="173"/>
      <c r="BB885" s="173"/>
      <c r="BC885" s="173"/>
      <c r="BD885" s="173"/>
      <c r="BE885" s="173"/>
      <c r="BF885" s="173"/>
      <c r="BG885" s="173"/>
      <c r="BH885" s="173"/>
      <c r="BI885" s="173"/>
      <c r="BJ885" s="173"/>
      <c r="BK885" s="173"/>
      <c r="BL885" s="173"/>
      <c r="BM885" s="173"/>
    </row>
    <row r="886" spans="1:65">
      <c r="A886" s="173"/>
      <c r="B886" s="173"/>
      <c r="C886" s="173"/>
      <c r="D886" s="173"/>
      <c r="E886" s="173"/>
      <c r="F886" s="173"/>
      <c r="G886" s="173"/>
      <c r="H886" s="173"/>
      <c r="I886" s="173"/>
      <c r="J886" s="173"/>
      <c r="K886" s="322"/>
      <c r="L886" s="173"/>
      <c r="M886" s="173"/>
      <c r="Q886" s="173"/>
      <c r="R886" s="173"/>
      <c r="S886" s="173"/>
      <c r="T886" s="173"/>
      <c r="U886" s="173"/>
      <c r="V886" s="173"/>
      <c r="W886" s="173"/>
      <c r="X886" s="173"/>
      <c r="Y886" s="173"/>
      <c r="Z886" s="173"/>
      <c r="AA886" s="173"/>
      <c r="AB886" s="173"/>
      <c r="AC886" s="173"/>
      <c r="AD886" s="173"/>
      <c r="AE886" s="173"/>
      <c r="AF886" s="173"/>
      <c r="AG886" s="173"/>
      <c r="AH886" s="173"/>
      <c r="AI886" s="173"/>
      <c r="AJ886" s="173"/>
      <c r="AK886" s="173"/>
      <c r="AL886" s="173"/>
      <c r="AM886" s="173"/>
      <c r="AN886" s="173"/>
      <c r="AO886" s="173"/>
      <c r="AP886" s="173"/>
      <c r="AQ886" s="173"/>
      <c r="AR886" s="173"/>
      <c r="AS886" s="173"/>
      <c r="AT886" s="173"/>
      <c r="AU886" s="173"/>
      <c r="AV886" s="173"/>
      <c r="AW886" s="173"/>
      <c r="AX886" s="173"/>
      <c r="AY886" s="173"/>
      <c r="AZ886" s="173"/>
      <c r="BA886" s="173"/>
      <c r="BB886" s="173"/>
      <c r="BC886" s="173"/>
      <c r="BD886" s="173"/>
      <c r="BE886" s="173"/>
      <c r="BF886" s="173"/>
      <c r="BG886" s="173"/>
      <c r="BH886" s="173"/>
      <c r="BI886" s="173"/>
      <c r="BJ886" s="173"/>
      <c r="BK886" s="173"/>
      <c r="BL886" s="173"/>
      <c r="BM886" s="173"/>
    </row>
    <row r="887" spans="1:65">
      <c r="A887" s="173"/>
      <c r="B887" s="173"/>
      <c r="C887" s="173"/>
      <c r="D887" s="173"/>
      <c r="E887" s="173"/>
      <c r="F887" s="173"/>
      <c r="G887" s="173"/>
      <c r="H887" s="173"/>
      <c r="I887" s="173"/>
      <c r="J887" s="173"/>
      <c r="K887" s="322"/>
      <c r="L887" s="173"/>
      <c r="M887" s="173"/>
      <c r="Q887" s="173"/>
      <c r="R887" s="173"/>
      <c r="S887" s="173"/>
      <c r="T887" s="173"/>
      <c r="U887" s="173"/>
      <c r="V887" s="173"/>
      <c r="W887" s="173"/>
      <c r="X887" s="173"/>
      <c r="Y887" s="173"/>
      <c r="Z887" s="173"/>
      <c r="AA887" s="173"/>
      <c r="AB887" s="173"/>
      <c r="AC887" s="173"/>
      <c r="AD887" s="173"/>
      <c r="AE887" s="173"/>
      <c r="AF887" s="173"/>
      <c r="AG887" s="173"/>
      <c r="AH887" s="173"/>
      <c r="AI887" s="173"/>
      <c r="AJ887" s="173"/>
      <c r="AK887" s="173"/>
      <c r="AL887" s="173"/>
      <c r="AM887" s="173"/>
      <c r="AN887" s="173"/>
      <c r="AO887" s="173"/>
      <c r="AP887" s="173"/>
      <c r="AQ887" s="173"/>
      <c r="AR887" s="173"/>
      <c r="AS887" s="173"/>
      <c r="AT887" s="173"/>
      <c r="AU887" s="173"/>
      <c r="AV887" s="173"/>
      <c r="AW887" s="173"/>
      <c r="AX887" s="173"/>
      <c r="AY887" s="173"/>
      <c r="AZ887" s="173"/>
      <c r="BA887" s="173"/>
      <c r="BB887" s="173"/>
      <c r="BC887" s="173"/>
      <c r="BD887" s="173"/>
      <c r="BE887" s="173"/>
      <c r="BF887" s="173"/>
      <c r="BG887" s="173"/>
      <c r="BH887" s="173"/>
      <c r="BI887" s="173"/>
      <c r="BJ887" s="173"/>
      <c r="BK887" s="173"/>
      <c r="BL887" s="173"/>
      <c r="BM887" s="173"/>
    </row>
    <row r="888" spans="1:65">
      <c r="A888" s="173"/>
      <c r="B888" s="173"/>
      <c r="C888" s="173"/>
      <c r="D888" s="173"/>
      <c r="E888" s="173"/>
      <c r="F888" s="173"/>
      <c r="G888" s="173"/>
      <c r="H888" s="173"/>
      <c r="I888" s="173"/>
      <c r="J888" s="173"/>
      <c r="K888" s="322"/>
      <c r="L888" s="173"/>
      <c r="M888" s="173"/>
      <c r="Q888" s="173"/>
      <c r="R888" s="173"/>
      <c r="S888" s="173"/>
      <c r="T888" s="173"/>
      <c r="U888" s="173"/>
      <c r="V888" s="173"/>
      <c r="W888" s="173"/>
      <c r="X888" s="173"/>
      <c r="Y888" s="173"/>
      <c r="Z888" s="173"/>
      <c r="AA888" s="173"/>
      <c r="AB888" s="173"/>
      <c r="AC888" s="173"/>
      <c r="AD888" s="173"/>
      <c r="AE888" s="173"/>
      <c r="AF888" s="173"/>
      <c r="AG888" s="173"/>
      <c r="AH888" s="173"/>
      <c r="AI888" s="173"/>
      <c r="AJ888" s="173"/>
      <c r="AK888" s="173"/>
      <c r="AL888" s="173"/>
      <c r="AM888" s="173"/>
      <c r="AN888" s="173"/>
      <c r="AO888" s="173"/>
      <c r="AP888" s="173"/>
      <c r="AQ888" s="173"/>
      <c r="AR888" s="173"/>
      <c r="AS888" s="173"/>
      <c r="AT888" s="173"/>
      <c r="AU888" s="173"/>
      <c r="AV888" s="173"/>
      <c r="AW888" s="173"/>
      <c r="AX888" s="173"/>
      <c r="AY888" s="173"/>
      <c r="AZ888" s="173"/>
      <c r="BA888" s="173"/>
      <c r="BB888" s="173"/>
      <c r="BC888" s="173"/>
      <c r="BD888" s="173"/>
      <c r="BE888" s="173"/>
      <c r="BF888" s="173"/>
      <c r="BG888" s="173"/>
      <c r="BH888" s="173"/>
      <c r="BI888" s="173"/>
      <c r="BJ888" s="173"/>
      <c r="BK888" s="173"/>
      <c r="BL888" s="173"/>
      <c r="BM888" s="173"/>
    </row>
    <row r="889" spans="1:65">
      <c r="A889" s="173"/>
      <c r="B889" s="173"/>
      <c r="C889" s="173"/>
      <c r="D889" s="173"/>
      <c r="E889" s="173"/>
      <c r="F889" s="173"/>
      <c r="G889" s="173"/>
      <c r="H889" s="173"/>
      <c r="I889" s="173"/>
      <c r="J889" s="173"/>
      <c r="K889" s="322"/>
      <c r="L889" s="173"/>
      <c r="M889" s="173"/>
      <c r="Q889" s="173"/>
      <c r="R889" s="173"/>
      <c r="S889" s="173"/>
      <c r="T889" s="173"/>
      <c r="U889" s="173"/>
      <c r="V889" s="173"/>
      <c r="W889" s="173"/>
      <c r="X889" s="173"/>
      <c r="Y889" s="173"/>
      <c r="Z889" s="173"/>
      <c r="AA889" s="173"/>
      <c r="AB889" s="173"/>
      <c r="AC889" s="173"/>
      <c r="AD889" s="173"/>
      <c r="AE889" s="173"/>
      <c r="AF889" s="173"/>
      <c r="AG889" s="173"/>
      <c r="AH889" s="173"/>
      <c r="AI889" s="173"/>
      <c r="AJ889" s="173"/>
      <c r="AK889" s="173"/>
      <c r="AL889" s="173"/>
      <c r="AM889" s="173"/>
      <c r="AN889" s="173"/>
      <c r="AO889" s="173"/>
      <c r="AP889" s="173"/>
      <c r="AQ889" s="173"/>
      <c r="AR889" s="173"/>
      <c r="AS889" s="173"/>
      <c r="AT889" s="173"/>
      <c r="AU889" s="173"/>
      <c r="AV889" s="173"/>
      <c r="AW889" s="173"/>
      <c r="AX889" s="173"/>
      <c r="AY889" s="173"/>
      <c r="AZ889" s="173"/>
      <c r="BA889" s="173"/>
      <c r="BB889" s="173"/>
      <c r="BC889" s="173"/>
      <c r="BD889" s="173"/>
      <c r="BE889" s="173"/>
      <c r="BF889" s="173"/>
      <c r="BG889" s="173"/>
      <c r="BH889" s="173"/>
      <c r="BI889" s="173"/>
      <c r="BJ889" s="173"/>
      <c r="BK889" s="173"/>
      <c r="BL889" s="173"/>
      <c r="BM889" s="173"/>
    </row>
    <row r="890" spans="1:65">
      <c r="A890" s="173"/>
      <c r="B890" s="173"/>
      <c r="C890" s="173"/>
      <c r="D890" s="173"/>
      <c r="E890" s="173"/>
      <c r="F890" s="173"/>
      <c r="G890" s="173"/>
      <c r="H890" s="173"/>
      <c r="I890" s="173"/>
      <c r="J890" s="173"/>
      <c r="K890" s="322"/>
      <c r="L890" s="173"/>
      <c r="M890" s="173"/>
      <c r="Q890" s="173"/>
      <c r="R890" s="173"/>
      <c r="S890" s="173"/>
      <c r="T890" s="173"/>
      <c r="U890" s="173"/>
      <c r="V890" s="173"/>
      <c r="W890" s="173"/>
      <c r="X890" s="173"/>
      <c r="Y890" s="173"/>
      <c r="Z890" s="173"/>
      <c r="AA890" s="173"/>
      <c r="AB890" s="173"/>
      <c r="AC890" s="173"/>
      <c r="AD890" s="173"/>
      <c r="AE890" s="173"/>
      <c r="AF890" s="173"/>
      <c r="AG890" s="173"/>
      <c r="AH890" s="173"/>
      <c r="AI890" s="173"/>
      <c r="AJ890" s="173"/>
      <c r="AK890" s="173"/>
      <c r="AL890" s="173"/>
      <c r="AM890" s="173"/>
      <c r="AN890" s="173"/>
      <c r="AO890" s="173"/>
      <c r="AP890" s="173"/>
      <c r="AQ890" s="173"/>
      <c r="AR890" s="173"/>
      <c r="AS890" s="173"/>
      <c r="AT890" s="173"/>
      <c r="AU890" s="173"/>
      <c r="AV890" s="173"/>
      <c r="AW890" s="173"/>
      <c r="AX890" s="173"/>
      <c r="AY890" s="173"/>
      <c r="AZ890" s="173"/>
      <c r="BA890" s="173"/>
      <c r="BB890" s="173"/>
      <c r="BC890" s="173"/>
      <c r="BD890" s="173"/>
      <c r="BE890" s="173"/>
      <c r="BF890" s="173"/>
      <c r="BG890" s="173"/>
      <c r="BH890" s="173"/>
      <c r="BI890" s="173"/>
      <c r="BJ890" s="173"/>
      <c r="BK890" s="173"/>
      <c r="BL890" s="173"/>
      <c r="BM890" s="173"/>
    </row>
    <row r="891" spans="1:65">
      <c r="A891" s="173"/>
      <c r="B891" s="173"/>
      <c r="C891" s="173"/>
      <c r="D891" s="173"/>
      <c r="E891" s="173"/>
      <c r="F891" s="173"/>
      <c r="G891" s="173"/>
      <c r="H891" s="173"/>
      <c r="I891" s="173"/>
      <c r="J891" s="173"/>
      <c r="K891" s="322"/>
      <c r="L891" s="173"/>
      <c r="M891" s="173"/>
      <c r="Q891" s="173"/>
      <c r="R891" s="173"/>
      <c r="S891" s="173"/>
      <c r="T891" s="173"/>
      <c r="U891" s="173"/>
      <c r="V891" s="173"/>
      <c r="W891" s="173"/>
      <c r="X891" s="173"/>
      <c r="Y891" s="173"/>
      <c r="Z891" s="173"/>
      <c r="AA891" s="173"/>
      <c r="AB891" s="173"/>
      <c r="AC891" s="173"/>
      <c r="AD891" s="173"/>
      <c r="AE891" s="173"/>
      <c r="AF891" s="173"/>
      <c r="AG891" s="173"/>
      <c r="AH891" s="173"/>
      <c r="AI891" s="173"/>
      <c r="AJ891" s="173"/>
      <c r="AK891" s="173"/>
      <c r="AL891" s="173"/>
      <c r="AM891" s="173"/>
      <c r="AN891" s="173"/>
      <c r="AO891" s="173"/>
      <c r="AP891" s="173"/>
      <c r="AQ891" s="173"/>
      <c r="AR891" s="173"/>
      <c r="AS891" s="173"/>
      <c r="AT891" s="173"/>
      <c r="AU891" s="173"/>
      <c r="AV891" s="173"/>
      <c r="AW891" s="173"/>
      <c r="AX891" s="173"/>
      <c r="AY891" s="173"/>
      <c r="AZ891" s="173"/>
      <c r="BA891" s="173"/>
      <c r="BB891" s="173"/>
      <c r="BC891" s="173"/>
      <c r="BD891" s="173"/>
      <c r="BE891" s="173"/>
      <c r="BF891" s="173"/>
      <c r="BG891" s="173"/>
      <c r="BH891" s="173"/>
      <c r="BI891" s="173"/>
      <c r="BJ891" s="173"/>
      <c r="BK891" s="173"/>
      <c r="BL891" s="173"/>
      <c r="BM891" s="173"/>
    </row>
    <row r="892" spans="1:65">
      <c r="A892" s="173"/>
      <c r="B892" s="173"/>
      <c r="C892" s="173"/>
      <c r="D892" s="173"/>
      <c r="E892" s="173"/>
      <c r="F892" s="173"/>
      <c r="G892" s="173"/>
      <c r="H892" s="173"/>
      <c r="I892" s="173"/>
      <c r="J892" s="173"/>
      <c r="K892" s="322"/>
      <c r="L892" s="173"/>
      <c r="M892" s="173"/>
      <c r="Q892" s="173"/>
      <c r="R892" s="173"/>
      <c r="S892" s="173"/>
      <c r="T892" s="173"/>
      <c r="U892" s="173"/>
      <c r="V892" s="173"/>
      <c r="W892" s="173"/>
      <c r="X892" s="173"/>
      <c r="Y892" s="173"/>
      <c r="Z892" s="173"/>
      <c r="AA892" s="173"/>
      <c r="AB892" s="173"/>
      <c r="AC892" s="173"/>
      <c r="AD892" s="173"/>
      <c r="AE892" s="173"/>
      <c r="AF892" s="173"/>
      <c r="AG892" s="173"/>
      <c r="AH892" s="173"/>
      <c r="AI892" s="173"/>
      <c r="AJ892" s="173"/>
      <c r="AK892" s="173"/>
      <c r="AL892" s="173"/>
      <c r="AM892" s="173"/>
      <c r="AN892" s="173"/>
      <c r="AO892" s="173"/>
      <c r="AP892" s="173"/>
      <c r="AQ892" s="173"/>
      <c r="AR892" s="173"/>
      <c r="AS892" s="173"/>
      <c r="AT892" s="173"/>
      <c r="AU892" s="173"/>
      <c r="AV892" s="173"/>
      <c r="AW892" s="173"/>
      <c r="AX892" s="173"/>
      <c r="AY892" s="173"/>
      <c r="AZ892" s="173"/>
      <c r="BA892" s="173"/>
      <c r="BB892" s="173"/>
      <c r="BC892" s="173"/>
      <c r="BD892" s="173"/>
      <c r="BE892" s="173"/>
      <c r="BF892" s="173"/>
      <c r="BG892" s="173"/>
      <c r="BH892" s="173"/>
      <c r="BI892" s="173"/>
      <c r="BJ892" s="173"/>
      <c r="BK892" s="173"/>
      <c r="BL892" s="173"/>
      <c r="BM892" s="173"/>
    </row>
    <row r="893" spans="1:65">
      <c r="A893" s="173"/>
      <c r="B893" s="173"/>
      <c r="C893" s="173"/>
      <c r="D893" s="173"/>
      <c r="E893" s="173"/>
      <c r="F893" s="173"/>
      <c r="G893" s="173"/>
      <c r="H893" s="173"/>
      <c r="I893" s="173"/>
      <c r="J893" s="173"/>
      <c r="K893" s="322"/>
      <c r="L893" s="173"/>
      <c r="M893" s="173"/>
      <c r="Q893" s="173"/>
      <c r="R893" s="173"/>
      <c r="S893" s="173"/>
      <c r="T893" s="173"/>
      <c r="U893" s="173"/>
      <c r="V893" s="173"/>
      <c r="W893" s="173"/>
      <c r="X893" s="173"/>
      <c r="Y893" s="173"/>
      <c r="Z893" s="173"/>
      <c r="AA893" s="173"/>
      <c r="AB893" s="173"/>
      <c r="AC893" s="173"/>
      <c r="AD893" s="173"/>
      <c r="AE893" s="173"/>
      <c r="AF893" s="173"/>
      <c r="AG893" s="173"/>
      <c r="AH893" s="173"/>
      <c r="AI893" s="173"/>
      <c r="AJ893" s="173"/>
      <c r="AK893" s="173"/>
      <c r="AL893" s="173"/>
      <c r="AM893" s="173"/>
      <c r="AN893" s="173"/>
      <c r="AO893" s="173"/>
      <c r="AP893" s="173"/>
      <c r="AQ893" s="173"/>
      <c r="AR893" s="173"/>
      <c r="AS893" s="173"/>
      <c r="AT893" s="173"/>
      <c r="AU893" s="173"/>
      <c r="AV893" s="173"/>
      <c r="AW893" s="173"/>
      <c r="AX893" s="173"/>
      <c r="AY893" s="173"/>
      <c r="AZ893" s="173"/>
      <c r="BA893" s="173"/>
      <c r="BB893" s="173"/>
      <c r="BC893" s="173"/>
      <c r="BD893" s="173"/>
      <c r="BE893" s="173"/>
      <c r="BF893" s="173"/>
      <c r="BG893" s="173"/>
      <c r="BH893" s="173"/>
      <c r="BI893" s="173"/>
      <c r="BJ893" s="173"/>
      <c r="BK893" s="173"/>
      <c r="BL893" s="173"/>
      <c r="BM893" s="173"/>
    </row>
    <row r="894" spans="1:65">
      <c r="A894" s="173"/>
      <c r="B894" s="173"/>
      <c r="C894" s="173"/>
      <c r="D894" s="173"/>
      <c r="E894" s="173"/>
      <c r="F894" s="173"/>
      <c r="G894" s="173"/>
      <c r="H894" s="173"/>
      <c r="I894" s="173"/>
      <c r="J894" s="173"/>
      <c r="K894" s="322"/>
      <c r="L894" s="173"/>
      <c r="M894" s="173"/>
      <c r="Q894" s="173"/>
      <c r="R894" s="173"/>
      <c r="S894" s="173"/>
      <c r="T894" s="173"/>
      <c r="U894" s="173"/>
      <c r="V894" s="173"/>
      <c r="W894" s="173"/>
      <c r="X894" s="173"/>
      <c r="Y894" s="173"/>
      <c r="Z894" s="173"/>
      <c r="AA894" s="173"/>
      <c r="AB894" s="173"/>
      <c r="AC894" s="173"/>
      <c r="AD894" s="173"/>
      <c r="AE894" s="173"/>
      <c r="AF894" s="173"/>
      <c r="AG894" s="173"/>
      <c r="AH894" s="173"/>
      <c r="AI894" s="173"/>
      <c r="AJ894" s="173"/>
      <c r="AK894" s="173"/>
      <c r="AL894" s="173"/>
      <c r="AM894" s="173"/>
      <c r="AN894" s="173"/>
      <c r="AO894" s="173"/>
      <c r="AP894" s="173"/>
      <c r="AQ894" s="173"/>
      <c r="AR894" s="173"/>
      <c r="AS894" s="173"/>
      <c r="AT894" s="173"/>
      <c r="AU894" s="173"/>
      <c r="AV894" s="173"/>
      <c r="AW894" s="173"/>
      <c r="AX894" s="173"/>
      <c r="AY894" s="173"/>
      <c r="AZ894" s="173"/>
      <c r="BA894" s="173"/>
      <c r="BB894" s="173"/>
      <c r="BC894" s="173"/>
      <c r="BD894" s="173"/>
      <c r="BE894" s="173"/>
      <c r="BF894" s="173"/>
      <c r="BG894" s="173"/>
      <c r="BH894" s="173"/>
      <c r="BI894" s="173"/>
      <c r="BJ894" s="173"/>
      <c r="BK894" s="173"/>
      <c r="BL894" s="173"/>
      <c r="BM894" s="173"/>
    </row>
    <row r="895" spans="1:65">
      <c r="A895" s="173"/>
      <c r="B895" s="173"/>
      <c r="C895" s="173"/>
      <c r="D895" s="173"/>
      <c r="E895" s="173"/>
      <c r="F895" s="173"/>
      <c r="G895" s="173"/>
      <c r="H895" s="173"/>
      <c r="I895" s="173"/>
      <c r="J895" s="173"/>
      <c r="K895" s="322"/>
      <c r="L895" s="173"/>
      <c r="M895" s="173"/>
      <c r="Q895" s="173"/>
      <c r="R895" s="173"/>
      <c r="S895" s="173"/>
      <c r="T895" s="173"/>
      <c r="U895" s="173"/>
      <c r="V895" s="173"/>
      <c r="W895" s="173"/>
      <c r="X895" s="173"/>
      <c r="Y895" s="173"/>
      <c r="Z895" s="173"/>
      <c r="AA895" s="173"/>
      <c r="AB895" s="173"/>
      <c r="AC895" s="173"/>
      <c r="AD895" s="173"/>
      <c r="AE895" s="173"/>
      <c r="AF895" s="173"/>
      <c r="AG895" s="173"/>
      <c r="AH895" s="173"/>
      <c r="AI895" s="173"/>
      <c r="AJ895" s="173"/>
      <c r="AK895" s="173"/>
      <c r="AL895" s="173"/>
      <c r="AM895" s="173"/>
      <c r="AN895" s="173"/>
      <c r="AO895" s="173"/>
      <c r="AP895" s="173"/>
      <c r="AQ895" s="173"/>
      <c r="AR895" s="173"/>
      <c r="AS895" s="173"/>
      <c r="AT895" s="173"/>
      <c r="AU895" s="173"/>
      <c r="AV895" s="173"/>
      <c r="AW895" s="173"/>
      <c r="AX895" s="173"/>
      <c r="AY895" s="173"/>
      <c r="AZ895" s="173"/>
      <c r="BA895" s="173"/>
      <c r="BB895" s="173"/>
      <c r="BC895" s="173"/>
      <c r="BD895" s="173"/>
      <c r="BE895" s="173"/>
      <c r="BF895" s="173"/>
      <c r="BG895" s="173"/>
      <c r="BH895" s="173"/>
      <c r="BI895" s="173"/>
      <c r="BJ895" s="173"/>
      <c r="BK895" s="173"/>
      <c r="BL895" s="173"/>
      <c r="BM895" s="173"/>
    </row>
    <row r="896" spans="1:65">
      <c r="A896" s="173"/>
      <c r="B896" s="173"/>
      <c r="C896" s="173"/>
      <c r="D896" s="173"/>
      <c r="E896" s="173"/>
      <c r="F896" s="173"/>
      <c r="G896" s="173"/>
      <c r="H896" s="173"/>
      <c r="I896" s="173"/>
      <c r="J896" s="173"/>
      <c r="K896" s="322"/>
      <c r="L896" s="173"/>
      <c r="M896" s="173"/>
      <c r="Q896" s="173"/>
      <c r="R896" s="173"/>
      <c r="S896" s="173"/>
      <c r="T896" s="173"/>
      <c r="U896" s="173"/>
      <c r="V896" s="173"/>
      <c r="W896" s="173"/>
      <c r="X896" s="173"/>
      <c r="Y896" s="173"/>
      <c r="Z896" s="173"/>
      <c r="AA896" s="173"/>
      <c r="AB896" s="173"/>
      <c r="AC896" s="173"/>
      <c r="AD896" s="173"/>
      <c r="AE896" s="173"/>
      <c r="AF896" s="173"/>
      <c r="AG896" s="173"/>
      <c r="AH896" s="173"/>
      <c r="AI896" s="173"/>
      <c r="AJ896" s="173"/>
      <c r="AK896" s="173"/>
      <c r="AL896" s="173"/>
      <c r="AM896" s="173"/>
      <c r="AN896" s="173"/>
      <c r="AO896" s="173"/>
      <c r="AP896" s="173"/>
      <c r="AQ896" s="173"/>
      <c r="AR896" s="173"/>
      <c r="AS896" s="173"/>
      <c r="AT896" s="173"/>
      <c r="AU896" s="173"/>
      <c r="AV896" s="173"/>
      <c r="AW896" s="173"/>
      <c r="AX896" s="173"/>
      <c r="AY896" s="173"/>
      <c r="AZ896" s="173"/>
      <c r="BA896" s="173"/>
      <c r="BB896" s="173"/>
      <c r="BC896" s="173"/>
      <c r="BD896" s="173"/>
      <c r="BE896" s="173"/>
      <c r="BF896" s="173"/>
      <c r="BG896" s="173"/>
      <c r="BH896" s="173"/>
      <c r="BI896" s="173"/>
      <c r="BJ896" s="173"/>
      <c r="BK896" s="173"/>
      <c r="BL896" s="173"/>
      <c r="BM896" s="173"/>
    </row>
    <row r="897" spans="1:65">
      <c r="A897" s="173"/>
      <c r="B897" s="173"/>
      <c r="C897" s="173"/>
      <c r="D897" s="173"/>
      <c r="E897" s="173"/>
      <c r="F897" s="173"/>
      <c r="G897" s="173"/>
      <c r="H897" s="173"/>
      <c r="I897" s="173"/>
      <c r="J897" s="173"/>
      <c r="K897" s="322"/>
      <c r="L897" s="173"/>
      <c r="M897" s="173"/>
      <c r="Q897" s="173"/>
      <c r="R897" s="173"/>
      <c r="S897" s="173"/>
      <c r="T897" s="173"/>
      <c r="U897" s="173"/>
      <c r="V897" s="173"/>
      <c r="W897" s="173"/>
      <c r="X897" s="173"/>
      <c r="Y897" s="173"/>
      <c r="Z897" s="173"/>
      <c r="AA897" s="173"/>
      <c r="AB897" s="173"/>
      <c r="AC897" s="173"/>
      <c r="AD897" s="173"/>
      <c r="AE897" s="173"/>
      <c r="AF897" s="173"/>
      <c r="AG897" s="173"/>
      <c r="AH897" s="173"/>
      <c r="AI897" s="173"/>
      <c r="AJ897" s="173"/>
      <c r="AK897" s="173"/>
      <c r="AL897" s="173"/>
      <c r="AM897" s="173"/>
      <c r="AN897" s="173"/>
      <c r="AO897" s="173"/>
      <c r="AP897" s="173"/>
      <c r="AQ897" s="173"/>
      <c r="AR897" s="173"/>
      <c r="AS897" s="173"/>
      <c r="AT897" s="173"/>
      <c r="AU897" s="173"/>
      <c r="AV897" s="173"/>
      <c r="AW897" s="173"/>
      <c r="AX897" s="173"/>
      <c r="AY897" s="173"/>
      <c r="AZ897" s="173"/>
      <c r="BA897" s="173"/>
      <c r="BB897" s="173"/>
      <c r="BC897" s="173"/>
      <c r="BD897" s="173"/>
      <c r="BE897" s="173"/>
      <c r="BF897" s="173"/>
      <c r="BG897" s="173"/>
      <c r="BH897" s="173"/>
      <c r="BI897" s="173"/>
      <c r="BJ897" s="173"/>
      <c r="BK897" s="173"/>
      <c r="BL897" s="173"/>
      <c r="BM897" s="173"/>
    </row>
    <row r="898" spans="1:65">
      <c r="A898" s="173"/>
      <c r="B898" s="173"/>
      <c r="C898" s="173"/>
      <c r="D898" s="173"/>
      <c r="E898" s="173"/>
      <c r="F898" s="173"/>
      <c r="G898" s="173"/>
      <c r="H898" s="173"/>
      <c r="I898" s="173"/>
      <c r="J898" s="173"/>
      <c r="K898" s="322"/>
      <c r="L898" s="173"/>
      <c r="M898" s="173"/>
      <c r="Q898" s="173"/>
      <c r="R898" s="173"/>
      <c r="S898" s="173"/>
      <c r="T898" s="173"/>
      <c r="U898" s="173"/>
      <c r="V898" s="173"/>
      <c r="W898" s="173"/>
      <c r="X898" s="173"/>
      <c r="Y898" s="173"/>
      <c r="Z898" s="173"/>
      <c r="AA898" s="173"/>
      <c r="AB898" s="173"/>
      <c r="AC898" s="173"/>
      <c r="AD898" s="173"/>
      <c r="AE898" s="173"/>
      <c r="AF898" s="173"/>
      <c r="AG898" s="173"/>
      <c r="AH898" s="173"/>
      <c r="AI898" s="173"/>
      <c r="AJ898" s="173"/>
      <c r="AK898" s="173"/>
      <c r="AL898" s="173"/>
      <c r="AM898" s="173"/>
      <c r="AN898" s="173"/>
      <c r="AO898" s="173"/>
      <c r="AP898" s="173"/>
      <c r="AQ898" s="173"/>
      <c r="AR898" s="173"/>
      <c r="AS898" s="173"/>
      <c r="AT898" s="173"/>
      <c r="AU898" s="173"/>
      <c r="AV898" s="173"/>
      <c r="AW898" s="173"/>
      <c r="AX898" s="173"/>
      <c r="AY898" s="173"/>
      <c r="AZ898" s="173"/>
      <c r="BA898" s="173"/>
      <c r="BB898" s="173"/>
      <c r="BC898" s="173"/>
      <c r="BD898" s="173"/>
      <c r="BE898" s="173"/>
      <c r="BF898" s="173"/>
      <c r="BG898" s="173"/>
      <c r="BH898" s="173"/>
      <c r="BI898" s="173"/>
      <c r="BJ898" s="173"/>
      <c r="BK898" s="173"/>
      <c r="BL898" s="173"/>
      <c r="BM898" s="173"/>
    </row>
    <row r="899" spans="1:65">
      <c r="A899" s="173"/>
      <c r="B899" s="173"/>
      <c r="C899" s="173"/>
      <c r="D899" s="173"/>
      <c r="E899" s="173"/>
      <c r="F899" s="173"/>
      <c r="G899" s="173"/>
      <c r="H899" s="173"/>
      <c r="I899" s="173"/>
      <c r="J899" s="173"/>
      <c r="K899" s="322"/>
      <c r="L899" s="173"/>
      <c r="M899" s="173"/>
      <c r="Q899" s="173"/>
      <c r="R899" s="173"/>
      <c r="S899" s="173"/>
      <c r="T899" s="173"/>
      <c r="U899" s="173"/>
      <c r="V899" s="173"/>
      <c r="W899" s="173"/>
      <c r="X899" s="173"/>
      <c r="Y899" s="173"/>
      <c r="Z899" s="173"/>
      <c r="AA899" s="173"/>
      <c r="AB899" s="173"/>
      <c r="AC899" s="173"/>
      <c r="AD899" s="173"/>
      <c r="AE899" s="173"/>
      <c r="AF899" s="173"/>
      <c r="AG899" s="173"/>
      <c r="AH899" s="173"/>
      <c r="AI899" s="173"/>
      <c r="AJ899" s="173"/>
      <c r="AK899" s="173"/>
      <c r="AL899" s="173"/>
      <c r="AM899" s="173"/>
      <c r="AN899" s="173"/>
      <c r="AO899" s="173"/>
      <c r="AP899" s="173"/>
      <c r="AQ899" s="173"/>
      <c r="AR899" s="173"/>
      <c r="AS899" s="173"/>
      <c r="AT899" s="173"/>
      <c r="AU899" s="173"/>
      <c r="AV899" s="173"/>
      <c r="AW899" s="173"/>
      <c r="AX899" s="173"/>
      <c r="AY899" s="173"/>
      <c r="AZ899" s="173"/>
      <c r="BA899" s="173"/>
      <c r="BB899" s="173"/>
      <c r="BC899" s="173"/>
      <c r="BD899" s="173"/>
      <c r="BE899" s="173"/>
      <c r="BF899" s="173"/>
      <c r="BG899" s="173"/>
      <c r="BH899" s="173"/>
      <c r="BI899" s="173"/>
      <c r="BJ899" s="173"/>
      <c r="BK899" s="173"/>
      <c r="BL899" s="173"/>
      <c r="BM899" s="173"/>
    </row>
    <row r="900" spans="1:65">
      <c r="A900" s="173"/>
      <c r="B900" s="173"/>
      <c r="C900" s="173"/>
      <c r="D900" s="173"/>
      <c r="E900" s="173"/>
      <c r="F900" s="173"/>
      <c r="G900" s="173"/>
      <c r="H900" s="173"/>
      <c r="I900" s="173"/>
      <c r="J900" s="173"/>
      <c r="K900" s="322"/>
      <c r="L900" s="173"/>
      <c r="M900" s="173"/>
      <c r="Q900" s="173"/>
      <c r="R900" s="173"/>
      <c r="S900" s="173"/>
      <c r="T900" s="173"/>
      <c r="U900" s="173"/>
      <c r="V900" s="173"/>
      <c r="W900" s="173"/>
      <c r="X900" s="173"/>
      <c r="Y900" s="173"/>
      <c r="Z900" s="173"/>
      <c r="AA900" s="173"/>
      <c r="AB900" s="173"/>
      <c r="AC900" s="173"/>
      <c r="AD900" s="173"/>
      <c r="AE900" s="173"/>
      <c r="AF900" s="173"/>
      <c r="AG900" s="173"/>
      <c r="AH900" s="173"/>
      <c r="AI900" s="173"/>
      <c r="AJ900" s="173"/>
      <c r="AK900" s="173"/>
      <c r="AL900" s="173"/>
      <c r="AM900" s="173"/>
      <c r="AN900" s="173"/>
      <c r="AO900" s="173"/>
      <c r="AP900" s="173"/>
      <c r="AQ900" s="173"/>
      <c r="AR900" s="173"/>
      <c r="AS900" s="173"/>
      <c r="AT900" s="173"/>
      <c r="AU900" s="173"/>
      <c r="AV900" s="173"/>
      <c r="AW900" s="173"/>
      <c r="AX900" s="173"/>
      <c r="AY900" s="173"/>
      <c r="AZ900" s="173"/>
      <c r="BA900" s="173"/>
      <c r="BB900" s="173"/>
      <c r="BC900" s="173"/>
      <c r="BD900" s="173"/>
      <c r="BE900" s="173"/>
      <c r="BF900" s="173"/>
      <c r="BG900" s="173"/>
      <c r="BH900" s="173"/>
      <c r="BI900" s="173"/>
      <c r="BJ900" s="173"/>
      <c r="BK900" s="173"/>
      <c r="BL900" s="173"/>
      <c r="BM900" s="173"/>
    </row>
    <row r="901" spans="1:65">
      <c r="A901" s="173"/>
      <c r="B901" s="173"/>
      <c r="C901" s="173"/>
      <c r="D901" s="173"/>
      <c r="E901" s="173"/>
      <c r="F901" s="173"/>
      <c r="G901" s="173"/>
      <c r="H901" s="173"/>
      <c r="I901" s="173"/>
      <c r="J901" s="173"/>
      <c r="K901" s="322"/>
      <c r="L901" s="173"/>
      <c r="M901" s="173"/>
      <c r="Q901" s="173"/>
      <c r="R901" s="173"/>
      <c r="S901" s="173"/>
      <c r="T901" s="173"/>
      <c r="U901" s="173"/>
      <c r="V901" s="173"/>
      <c r="W901" s="173"/>
      <c r="X901" s="173"/>
      <c r="Y901" s="173"/>
      <c r="Z901" s="173"/>
      <c r="AA901" s="173"/>
      <c r="AB901" s="173"/>
      <c r="AC901" s="173"/>
      <c r="AD901" s="173"/>
      <c r="AE901" s="173"/>
      <c r="AF901" s="173"/>
      <c r="AG901" s="173"/>
      <c r="AH901" s="173"/>
      <c r="AI901" s="173"/>
      <c r="AJ901" s="173"/>
      <c r="AK901" s="173"/>
      <c r="AL901" s="173"/>
      <c r="AM901" s="173"/>
      <c r="AN901" s="173"/>
      <c r="AO901" s="173"/>
      <c r="AP901" s="173"/>
      <c r="AQ901" s="173"/>
      <c r="AR901" s="173"/>
      <c r="AS901" s="173"/>
      <c r="AT901" s="173"/>
      <c r="AU901" s="173"/>
      <c r="AV901" s="173"/>
      <c r="AW901" s="173"/>
      <c r="AX901" s="173"/>
      <c r="AY901" s="173"/>
      <c r="AZ901" s="173"/>
      <c r="BA901" s="173"/>
      <c r="BB901" s="173"/>
      <c r="BC901" s="173"/>
      <c r="BD901" s="173"/>
      <c r="BE901" s="173"/>
      <c r="BF901" s="173"/>
      <c r="BG901" s="173"/>
      <c r="BH901" s="173"/>
      <c r="BI901" s="173"/>
      <c r="BJ901" s="173"/>
      <c r="BK901" s="173"/>
      <c r="BL901" s="173"/>
      <c r="BM901" s="173"/>
    </row>
    <row r="902" spans="1:65">
      <c r="A902" s="173"/>
      <c r="B902" s="173"/>
      <c r="C902" s="173"/>
      <c r="D902" s="173"/>
      <c r="E902" s="173"/>
      <c r="F902" s="173"/>
      <c r="G902" s="173"/>
      <c r="H902" s="173"/>
      <c r="I902" s="173"/>
      <c r="J902" s="173"/>
      <c r="K902" s="322"/>
      <c r="L902" s="173"/>
      <c r="M902" s="173"/>
      <c r="Q902" s="173"/>
      <c r="R902" s="173"/>
      <c r="S902" s="173"/>
      <c r="T902" s="173"/>
      <c r="U902" s="173"/>
      <c r="V902" s="173"/>
      <c r="W902" s="173"/>
      <c r="X902" s="173"/>
      <c r="Y902" s="173"/>
      <c r="Z902" s="173"/>
      <c r="AA902" s="173"/>
      <c r="AB902" s="173"/>
      <c r="AC902" s="173"/>
      <c r="AD902" s="173"/>
      <c r="AE902" s="173"/>
      <c r="AF902" s="173"/>
      <c r="AG902" s="173"/>
      <c r="AH902" s="173"/>
      <c r="AI902" s="173"/>
      <c r="AJ902" s="173"/>
      <c r="AK902" s="173"/>
      <c r="AL902" s="173"/>
      <c r="AM902" s="173"/>
      <c r="AN902" s="173"/>
      <c r="AO902" s="173"/>
      <c r="AP902" s="173"/>
      <c r="AQ902" s="173"/>
      <c r="AR902" s="173"/>
      <c r="AS902" s="173"/>
      <c r="AT902" s="173"/>
      <c r="AU902" s="173"/>
      <c r="AV902" s="173"/>
      <c r="AW902" s="173"/>
      <c r="AX902" s="173"/>
      <c r="AY902" s="173"/>
      <c r="AZ902" s="173"/>
      <c r="BA902" s="173"/>
      <c r="BB902" s="173"/>
      <c r="BC902" s="173"/>
      <c r="BD902" s="173"/>
      <c r="BE902" s="173"/>
      <c r="BF902" s="173"/>
      <c r="BG902" s="173"/>
      <c r="BH902" s="173"/>
      <c r="BI902" s="173"/>
      <c r="BJ902" s="173"/>
      <c r="BK902" s="173"/>
      <c r="BL902" s="173"/>
      <c r="BM902" s="173"/>
    </row>
    <row r="903" spans="1:65">
      <c r="A903" s="173"/>
      <c r="B903" s="173"/>
      <c r="C903" s="173"/>
      <c r="D903" s="173"/>
      <c r="E903" s="173"/>
      <c r="F903" s="173"/>
      <c r="G903" s="173"/>
      <c r="H903" s="173"/>
      <c r="I903" s="173"/>
      <c r="J903" s="173"/>
      <c r="K903" s="322"/>
      <c r="L903" s="173"/>
      <c r="M903" s="173"/>
      <c r="Q903" s="173"/>
      <c r="R903" s="173"/>
      <c r="S903" s="173"/>
      <c r="T903" s="173"/>
      <c r="U903" s="173"/>
      <c r="V903" s="173"/>
      <c r="W903" s="173"/>
      <c r="X903" s="173"/>
      <c r="Y903" s="173"/>
      <c r="Z903" s="173"/>
      <c r="AA903" s="173"/>
      <c r="AB903" s="173"/>
      <c r="AC903" s="173"/>
      <c r="AD903" s="173"/>
      <c r="AE903" s="173"/>
      <c r="AF903" s="173"/>
      <c r="AG903" s="173"/>
      <c r="AH903" s="173"/>
      <c r="AI903" s="173"/>
      <c r="AJ903" s="173"/>
      <c r="AK903" s="173"/>
      <c r="AL903" s="173"/>
      <c r="AM903" s="173"/>
      <c r="AN903" s="173"/>
      <c r="AO903" s="173"/>
      <c r="AP903" s="173"/>
      <c r="AQ903" s="173"/>
      <c r="AR903" s="173"/>
      <c r="AS903" s="173"/>
      <c r="AT903" s="173"/>
      <c r="AU903" s="173"/>
      <c r="AV903" s="173"/>
      <c r="AW903" s="173"/>
      <c r="AX903" s="173"/>
      <c r="AY903" s="173"/>
      <c r="AZ903" s="173"/>
      <c r="BA903" s="173"/>
      <c r="BB903" s="173"/>
      <c r="BC903" s="173"/>
      <c r="BD903" s="173"/>
      <c r="BE903" s="173"/>
      <c r="BF903" s="173"/>
      <c r="BG903" s="173"/>
      <c r="BH903" s="173"/>
      <c r="BI903" s="173"/>
      <c r="BJ903" s="173"/>
      <c r="BK903" s="173"/>
      <c r="BL903" s="173"/>
      <c r="BM903" s="173"/>
    </row>
    <row r="904" spans="1:65">
      <c r="A904" s="173"/>
      <c r="B904" s="173"/>
      <c r="C904" s="173"/>
      <c r="D904" s="173"/>
      <c r="E904" s="173"/>
      <c r="F904" s="173"/>
      <c r="G904" s="173"/>
      <c r="H904" s="173"/>
      <c r="I904" s="173"/>
      <c r="J904" s="173"/>
      <c r="K904" s="322"/>
      <c r="L904" s="173"/>
      <c r="M904" s="173"/>
      <c r="Q904" s="173"/>
      <c r="R904" s="173"/>
      <c r="S904" s="173"/>
      <c r="T904" s="173"/>
      <c r="U904" s="173"/>
      <c r="V904" s="173"/>
      <c r="W904" s="173"/>
      <c r="X904" s="173"/>
      <c r="Y904" s="173"/>
      <c r="Z904" s="173"/>
      <c r="AA904" s="173"/>
      <c r="AB904" s="173"/>
      <c r="AC904" s="173"/>
      <c r="AD904" s="173"/>
      <c r="AE904" s="173"/>
      <c r="AF904" s="173"/>
      <c r="AG904" s="173"/>
      <c r="AH904" s="173"/>
      <c r="AI904" s="173"/>
      <c r="AJ904" s="173"/>
      <c r="AK904" s="173"/>
      <c r="AL904" s="173"/>
      <c r="AM904" s="173"/>
      <c r="AN904" s="173"/>
      <c r="AO904" s="173"/>
      <c r="AP904" s="173"/>
      <c r="AQ904" s="173"/>
      <c r="AR904" s="173"/>
      <c r="AS904" s="173"/>
      <c r="AT904" s="173"/>
      <c r="AU904" s="173"/>
      <c r="AV904" s="173"/>
      <c r="AW904" s="173"/>
      <c r="AX904" s="173"/>
      <c r="AY904" s="173"/>
      <c r="AZ904" s="173"/>
      <c r="BA904" s="173"/>
      <c r="BB904" s="173"/>
      <c r="BC904" s="173"/>
      <c r="BD904" s="173"/>
      <c r="BE904" s="173"/>
      <c r="BF904" s="173"/>
      <c r="BG904" s="173"/>
      <c r="BH904" s="173"/>
      <c r="BI904" s="173"/>
      <c r="BJ904" s="173"/>
      <c r="BK904" s="173"/>
      <c r="BL904" s="173"/>
      <c r="BM904" s="173"/>
    </row>
    <row r="905" spans="1:65">
      <c r="A905" s="173"/>
      <c r="B905" s="173"/>
      <c r="C905" s="173"/>
      <c r="D905" s="173"/>
      <c r="E905" s="173"/>
      <c r="F905" s="173"/>
      <c r="G905" s="173"/>
      <c r="H905" s="173"/>
      <c r="I905" s="173"/>
      <c r="J905" s="173"/>
      <c r="K905" s="322"/>
      <c r="L905" s="173"/>
      <c r="M905" s="173"/>
      <c r="Q905" s="173"/>
      <c r="R905" s="173"/>
      <c r="S905" s="173"/>
      <c r="T905" s="173"/>
      <c r="U905" s="173"/>
      <c r="V905" s="173"/>
      <c r="W905" s="173"/>
      <c r="X905" s="173"/>
      <c r="Y905" s="173"/>
      <c r="Z905" s="173"/>
      <c r="AA905" s="173"/>
      <c r="AB905" s="173"/>
      <c r="AC905" s="173"/>
      <c r="AD905" s="173"/>
      <c r="AE905" s="173"/>
      <c r="AF905" s="173"/>
      <c r="AG905" s="173"/>
      <c r="AH905" s="173"/>
      <c r="AI905" s="173"/>
      <c r="AJ905" s="173"/>
      <c r="AK905" s="173"/>
      <c r="AL905" s="173"/>
      <c r="AM905" s="173"/>
      <c r="AN905" s="173"/>
      <c r="AO905" s="173"/>
      <c r="AP905" s="173"/>
      <c r="AQ905" s="173"/>
      <c r="AR905" s="173"/>
      <c r="AS905" s="173"/>
      <c r="AT905" s="173"/>
      <c r="AU905" s="173"/>
      <c r="AV905" s="173"/>
      <c r="AW905" s="173"/>
      <c r="AX905" s="173"/>
      <c r="AY905" s="173"/>
      <c r="AZ905" s="173"/>
      <c r="BA905" s="173"/>
      <c r="BB905" s="173"/>
      <c r="BC905" s="173"/>
      <c r="BD905" s="173"/>
      <c r="BE905" s="173"/>
      <c r="BF905" s="173"/>
      <c r="BG905" s="173"/>
      <c r="BH905" s="173"/>
      <c r="BI905" s="173"/>
      <c r="BJ905" s="173"/>
      <c r="BK905" s="173"/>
      <c r="BL905" s="173"/>
      <c r="BM905" s="173"/>
    </row>
    <row r="906" spans="1:65">
      <c r="A906" s="173"/>
      <c r="B906" s="173"/>
      <c r="C906" s="173"/>
      <c r="D906" s="173"/>
      <c r="E906" s="173"/>
      <c r="F906" s="173"/>
      <c r="G906" s="173"/>
      <c r="H906" s="173"/>
      <c r="I906" s="173"/>
      <c r="J906" s="173"/>
      <c r="K906" s="322"/>
      <c r="L906" s="173"/>
      <c r="M906" s="173"/>
      <c r="Q906" s="173"/>
      <c r="R906" s="173"/>
      <c r="S906" s="173"/>
      <c r="T906" s="173"/>
      <c r="U906" s="173"/>
      <c r="V906" s="173"/>
      <c r="W906" s="173"/>
      <c r="X906" s="173"/>
      <c r="Y906" s="173"/>
      <c r="Z906" s="173"/>
      <c r="AA906" s="173"/>
      <c r="AB906" s="173"/>
      <c r="AC906" s="173"/>
      <c r="AD906" s="173"/>
      <c r="AE906" s="173"/>
      <c r="AF906" s="173"/>
      <c r="AG906" s="173"/>
      <c r="AH906" s="173"/>
      <c r="AI906" s="173"/>
      <c r="AJ906" s="173"/>
      <c r="AK906" s="173"/>
      <c r="AL906" s="173"/>
      <c r="AM906" s="173"/>
      <c r="AN906" s="173"/>
      <c r="AO906" s="173"/>
      <c r="AP906" s="173"/>
      <c r="AQ906" s="173"/>
      <c r="AR906" s="173"/>
      <c r="AS906" s="173"/>
      <c r="AT906" s="173"/>
      <c r="AU906" s="173"/>
      <c r="AV906" s="173"/>
      <c r="AW906" s="173"/>
      <c r="AX906" s="173"/>
      <c r="AY906" s="173"/>
      <c r="AZ906" s="173"/>
      <c r="BA906" s="173"/>
      <c r="BB906" s="173"/>
      <c r="BC906" s="173"/>
      <c r="BD906" s="173"/>
      <c r="BE906" s="173"/>
      <c r="BF906" s="173"/>
      <c r="BG906" s="173"/>
      <c r="BH906" s="173"/>
      <c r="BI906" s="173"/>
      <c r="BJ906" s="173"/>
      <c r="BK906" s="173"/>
      <c r="BL906" s="173"/>
      <c r="BM906" s="173"/>
    </row>
    <row r="907" spans="1:65">
      <c r="A907" s="173"/>
      <c r="B907" s="173"/>
      <c r="C907" s="173"/>
      <c r="D907" s="173"/>
      <c r="E907" s="173"/>
      <c r="F907" s="173"/>
      <c r="G907" s="173"/>
      <c r="H907" s="173"/>
      <c r="I907" s="173"/>
      <c r="J907" s="173"/>
      <c r="K907" s="322"/>
      <c r="L907" s="173"/>
      <c r="M907" s="173"/>
      <c r="Q907" s="173"/>
      <c r="R907" s="173"/>
      <c r="S907" s="173"/>
      <c r="T907" s="173"/>
      <c r="U907" s="173"/>
      <c r="V907" s="173"/>
      <c r="W907" s="173"/>
      <c r="X907" s="173"/>
      <c r="Y907" s="173"/>
      <c r="Z907" s="173"/>
      <c r="AA907" s="173"/>
      <c r="AB907" s="173"/>
      <c r="AC907" s="173"/>
      <c r="AD907" s="173"/>
      <c r="AE907" s="173"/>
      <c r="AF907" s="173"/>
      <c r="AG907" s="173"/>
      <c r="AH907" s="173"/>
      <c r="AI907" s="173"/>
      <c r="AJ907" s="173"/>
      <c r="AK907" s="173"/>
      <c r="AL907" s="173"/>
      <c r="AM907" s="173"/>
      <c r="AN907" s="173"/>
      <c r="AO907" s="173"/>
      <c r="AP907" s="173"/>
      <c r="AQ907" s="173"/>
      <c r="AR907" s="173"/>
      <c r="AS907" s="173"/>
      <c r="AT907" s="173"/>
      <c r="AU907" s="173"/>
      <c r="AV907" s="173"/>
      <c r="AW907" s="173"/>
      <c r="AX907" s="173"/>
      <c r="AY907" s="173"/>
      <c r="AZ907" s="173"/>
      <c r="BA907" s="173"/>
      <c r="BB907" s="173"/>
      <c r="BC907" s="173"/>
      <c r="BD907" s="173"/>
      <c r="BE907" s="173"/>
      <c r="BF907" s="173"/>
      <c r="BG907" s="173"/>
      <c r="BH907" s="173"/>
      <c r="BI907" s="173"/>
      <c r="BJ907" s="173"/>
      <c r="BK907" s="173"/>
      <c r="BL907" s="173"/>
      <c r="BM907" s="173"/>
    </row>
    <row r="908" spans="1:65">
      <c r="A908" s="173"/>
      <c r="B908" s="173"/>
      <c r="C908" s="173"/>
      <c r="D908" s="173"/>
      <c r="E908" s="173"/>
      <c r="F908" s="173"/>
      <c r="G908" s="173"/>
      <c r="H908" s="173"/>
      <c r="I908" s="173"/>
      <c r="J908" s="173"/>
      <c r="K908" s="322"/>
      <c r="L908" s="173"/>
      <c r="M908" s="173"/>
      <c r="Q908" s="173"/>
      <c r="R908" s="173"/>
      <c r="S908" s="173"/>
      <c r="T908" s="173"/>
      <c r="U908" s="173"/>
      <c r="V908" s="173"/>
      <c r="W908" s="173"/>
      <c r="X908" s="173"/>
      <c r="Y908" s="173"/>
      <c r="Z908" s="173"/>
      <c r="AA908" s="173"/>
      <c r="AB908" s="173"/>
      <c r="AC908" s="173"/>
      <c r="AD908" s="173"/>
      <c r="AE908" s="173"/>
      <c r="AF908" s="173"/>
      <c r="AG908" s="173"/>
      <c r="AH908" s="173"/>
      <c r="AI908" s="173"/>
      <c r="AJ908" s="173"/>
      <c r="AK908" s="173"/>
      <c r="AL908" s="173"/>
      <c r="AM908" s="173"/>
      <c r="AN908" s="173"/>
      <c r="AO908" s="173"/>
      <c r="AP908" s="173"/>
      <c r="AQ908" s="173"/>
      <c r="AR908" s="173"/>
      <c r="AS908" s="173"/>
      <c r="AT908" s="173"/>
      <c r="AU908" s="173"/>
      <c r="AV908" s="173"/>
      <c r="AW908" s="173"/>
      <c r="AX908" s="173"/>
      <c r="AY908" s="173"/>
      <c r="AZ908" s="173"/>
      <c r="BA908" s="173"/>
      <c r="BB908" s="173"/>
      <c r="BC908" s="173"/>
      <c r="BD908" s="173"/>
      <c r="BE908" s="173"/>
      <c r="BF908" s="173"/>
      <c r="BG908" s="173"/>
      <c r="BH908" s="173"/>
      <c r="BI908" s="173"/>
      <c r="BJ908" s="173"/>
      <c r="BK908" s="173"/>
      <c r="BL908" s="173"/>
      <c r="BM908" s="173"/>
    </row>
    <row r="909" spans="1:65">
      <c r="A909" s="173"/>
      <c r="B909" s="173"/>
      <c r="C909" s="173"/>
      <c r="D909" s="173"/>
      <c r="E909" s="173"/>
      <c r="F909" s="173"/>
      <c r="G909" s="173"/>
      <c r="H909" s="173"/>
      <c r="I909" s="173"/>
      <c r="J909" s="173"/>
      <c r="K909" s="322"/>
      <c r="L909" s="173"/>
      <c r="M909" s="173"/>
      <c r="Q909" s="173"/>
      <c r="R909" s="173"/>
      <c r="S909" s="173"/>
      <c r="T909" s="173"/>
      <c r="U909" s="173"/>
      <c r="V909" s="173"/>
      <c r="W909" s="173"/>
      <c r="X909" s="173"/>
      <c r="Y909" s="173"/>
      <c r="Z909" s="173"/>
      <c r="AA909" s="173"/>
      <c r="AB909" s="173"/>
      <c r="AC909" s="173"/>
      <c r="AD909" s="173"/>
      <c r="AE909" s="173"/>
      <c r="AF909" s="173"/>
      <c r="AG909" s="173"/>
      <c r="AH909" s="173"/>
      <c r="AI909" s="173"/>
      <c r="AJ909" s="173"/>
      <c r="AK909" s="173"/>
      <c r="AL909" s="173"/>
      <c r="AM909" s="173"/>
      <c r="AN909" s="173"/>
      <c r="AO909" s="173"/>
      <c r="AP909" s="173"/>
      <c r="AQ909" s="173"/>
      <c r="AR909" s="173"/>
      <c r="AS909" s="173"/>
      <c r="AT909" s="173"/>
      <c r="AU909" s="173"/>
      <c r="AV909" s="173"/>
      <c r="AW909" s="173"/>
      <c r="AX909" s="173"/>
      <c r="AY909" s="173"/>
      <c r="AZ909" s="173"/>
      <c r="BA909" s="173"/>
      <c r="BB909" s="173"/>
      <c r="BC909" s="173"/>
      <c r="BD909" s="173"/>
      <c r="BE909" s="173"/>
      <c r="BF909" s="173"/>
      <c r="BG909" s="173"/>
      <c r="BH909" s="173"/>
      <c r="BI909" s="173"/>
      <c r="BJ909" s="173"/>
      <c r="BK909" s="173"/>
      <c r="BL909" s="173"/>
      <c r="BM909" s="173"/>
    </row>
    <row r="910" spans="1:65">
      <c r="A910" s="173"/>
      <c r="B910" s="173"/>
      <c r="C910" s="173"/>
      <c r="D910" s="173"/>
      <c r="E910" s="173"/>
      <c r="F910" s="173"/>
      <c r="G910" s="173"/>
      <c r="H910" s="173"/>
      <c r="I910" s="173"/>
      <c r="J910" s="173"/>
      <c r="K910" s="322"/>
      <c r="L910" s="173"/>
      <c r="M910" s="173"/>
      <c r="Q910" s="173"/>
      <c r="R910" s="173"/>
      <c r="S910" s="173"/>
      <c r="T910" s="173"/>
      <c r="U910" s="173"/>
      <c r="V910" s="173"/>
      <c r="W910" s="173"/>
      <c r="X910" s="173"/>
      <c r="Y910" s="173"/>
      <c r="Z910" s="173"/>
      <c r="AA910" s="173"/>
      <c r="AB910" s="173"/>
      <c r="AC910" s="173"/>
      <c r="AD910" s="173"/>
      <c r="AE910" s="173"/>
      <c r="AF910" s="173"/>
      <c r="AG910" s="173"/>
      <c r="AH910" s="173"/>
      <c r="AI910" s="173"/>
      <c r="AJ910" s="173"/>
      <c r="AK910" s="173"/>
      <c r="AL910" s="173"/>
      <c r="AM910" s="173"/>
      <c r="AN910" s="173"/>
      <c r="AO910" s="173"/>
      <c r="AP910" s="173"/>
      <c r="AQ910" s="173"/>
      <c r="AR910" s="173"/>
      <c r="AS910" s="173"/>
      <c r="AT910" s="173"/>
      <c r="AU910" s="173"/>
      <c r="AV910" s="173"/>
      <c r="AW910" s="173"/>
      <c r="AX910" s="173"/>
      <c r="AY910" s="173"/>
      <c r="AZ910" s="173"/>
      <c r="BA910" s="173"/>
      <c r="BB910" s="173"/>
      <c r="BC910" s="173"/>
      <c r="BD910" s="173"/>
      <c r="BE910" s="173"/>
      <c r="BF910" s="173"/>
      <c r="BG910" s="173"/>
      <c r="BH910" s="173"/>
      <c r="BI910" s="173"/>
      <c r="BJ910" s="173"/>
      <c r="BK910" s="173"/>
      <c r="BL910" s="173"/>
      <c r="BM910" s="173"/>
    </row>
    <row r="911" spans="1:65">
      <c r="A911" s="173"/>
      <c r="B911" s="173"/>
      <c r="C911" s="173"/>
      <c r="D911" s="173"/>
      <c r="E911" s="173"/>
      <c r="F911" s="173"/>
      <c r="G911" s="173"/>
      <c r="H911" s="173"/>
      <c r="I911" s="173"/>
      <c r="J911" s="173"/>
      <c r="K911" s="322"/>
      <c r="L911" s="173"/>
      <c r="M911" s="173"/>
      <c r="Q911" s="173"/>
      <c r="R911" s="173"/>
      <c r="S911" s="173"/>
      <c r="T911" s="173"/>
      <c r="U911" s="173"/>
      <c r="V911" s="173"/>
      <c r="W911" s="173"/>
      <c r="X911" s="173"/>
      <c r="Y911" s="173"/>
      <c r="Z911" s="173"/>
      <c r="AA911" s="173"/>
      <c r="AB911" s="173"/>
      <c r="AC911" s="173"/>
      <c r="AD911" s="173"/>
      <c r="AE911" s="173"/>
      <c r="AF911" s="173"/>
      <c r="AG911" s="173"/>
      <c r="AH911" s="173"/>
      <c r="AI911" s="173"/>
      <c r="AJ911" s="173"/>
      <c r="AK911" s="173"/>
      <c r="AL911" s="173"/>
      <c r="AM911" s="173"/>
      <c r="AN911" s="173"/>
      <c r="AO911" s="173"/>
      <c r="AP911" s="173"/>
      <c r="AQ911" s="173"/>
      <c r="AR911" s="173"/>
      <c r="AS911" s="173"/>
      <c r="AT911" s="173"/>
      <c r="AU911" s="173"/>
      <c r="AV911" s="173"/>
      <c r="AW911" s="173"/>
      <c r="AX911" s="173"/>
      <c r="AY911" s="173"/>
      <c r="AZ911" s="173"/>
      <c r="BA911" s="173"/>
      <c r="BB911" s="173"/>
      <c r="BC911" s="173"/>
      <c r="BD911" s="173"/>
      <c r="BE911" s="173"/>
      <c r="BF911" s="173"/>
      <c r="BG911" s="173"/>
      <c r="BH911" s="173"/>
      <c r="BI911" s="173"/>
      <c r="BJ911" s="173"/>
      <c r="BK911" s="173"/>
      <c r="BL911" s="173"/>
      <c r="BM911" s="173"/>
    </row>
    <row r="912" spans="1:65">
      <c r="A912" s="173"/>
      <c r="B912" s="173"/>
      <c r="C912" s="173"/>
      <c r="D912" s="173"/>
      <c r="E912" s="173"/>
      <c r="F912" s="173"/>
      <c r="G912" s="173"/>
      <c r="H912" s="173"/>
      <c r="I912" s="173"/>
      <c r="J912" s="173"/>
      <c r="K912" s="322"/>
      <c r="L912" s="173"/>
      <c r="M912" s="173"/>
      <c r="Q912" s="173"/>
      <c r="R912" s="173"/>
      <c r="S912" s="173"/>
      <c r="T912" s="173"/>
      <c r="U912" s="173"/>
      <c r="V912" s="173"/>
      <c r="W912" s="173"/>
      <c r="X912" s="173"/>
      <c r="Y912" s="173"/>
      <c r="Z912" s="173"/>
      <c r="AA912" s="173"/>
      <c r="AB912" s="173"/>
      <c r="AC912" s="173"/>
      <c r="AD912" s="173"/>
      <c r="AE912" s="173"/>
      <c r="AF912" s="173"/>
      <c r="AG912" s="173"/>
      <c r="AH912" s="173"/>
      <c r="AI912" s="173"/>
      <c r="AJ912" s="173"/>
      <c r="AK912" s="173"/>
      <c r="AL912" s="173"/>
      <c r="AM912" s="173"/>
      <c r="AN912" s="173"/>
      <c r="AO912" s="173"/>
      <c r="AP912" s="173"/>
      <c r="AQ912" s="173"/>
      <c r="AR912" s="173"/>
      <c r="AS912" s="173"/>
      <c r="AT912" s="173"/>
      <c r="AU912" s="173"/>
      <c r="AV912" s="173"/>
      <c r="AW912" s="173"/>
      <c r="AX912" s="173"/>
      <c r="AY912" s="173"/>
      <c r="AZ912" s="173"/>
      <c r="BA912" s="173"/>
      <c r="BB912" s="173"/>
      <c r="BC912" s="173"/>
      <c r="BD912" s="173"/>
      <c r="BE912" s="173"/>
      <c r="BF912" s="173"/>
      <c r="BG912" s="173"/>
      <c r="BH912" s="173"/>
      <c r="BI912" s="173"/>
      <c r="BJ912" s="173"/>
      <c r="BK912" s="173"/>
      <c r="BL912" s="173"/>
      <c r="BM912" s="173"/>
    </row>
    <row r="913" spans="1:65">
      <c r="A913" s="173"/>
      <c r="B913" s="173"/>
      <c r="C913" s="173"/>
      <c r="D913" s="173"/>
      <c r="E913" s="173"/>
      <c r="F913" s="173"/>
      <c r="G913" s="173"/>
      <c r="H913" s="173"/>
      <c r="I913" s="173"/>
      <c r="J913" s="173"/>
      <c r="K913" s="322"/>
      <c r="L913" s="173"/>
      <c r="M913" s="173"/>
      <c r="Q913" s="173"/>
      <c r="R913" s="173"/>
      <c r="S913" s="173"/>
      <c r="T913" s="173"/>
      <c r="U913" s="173"/>
      <c r="V913" s="173"/>
      <c r="W913" s="173"/>
      <c r="X913" s="173"/>
      <c r="Y913" s="173"/>
      <c r="Z913" s="173"/>
      <c r="AA913" s="173"/>
      <c r="AB913" s="173"/>
      <c r="AC913" s="173"/>
      <c r="AD913" s="173"/>
      <c r="AE913" s="173"/>
      <c r="AF913" s="173"/>
      <c r="AG913" s="173"/>
      <c r="AH913" s="173"/>
      <c r="AI913" s="173"/>
      <c r="AJ913" s="173"/>
      <c r="AK913" s="173"/>
      <c r="AL913" s="173"/>
      <c r="AM913" s="173"/>
      <c r="AN913" s="173"/>
      <c r="AO913" s="173"/>
      <c r="AP913" s="173"/>
      <c r="AQ913" s="173"/>
      <c r="AR913" s="173"/>
      <c r="AS913" s="173"/>
      <c r="AT913" s="173"/>
      <c r="AU913" s="173"/>
      <c r="AV913" s="173"/>
      <c r="AW913" s="173"/>
      <c r="AX913" s="173"/>
      <c r="AY913" s="173"/>
      <c r="AZ913" s="173"/>
      <c r="BA913" s="173"/>
      <c r="BB913" s="173"/>
      <c r="BC913" s="173"/>
      <c r="BD913" s="173"/>
      <c r="BE913" s="173"/>
      <c r="BF913" s="173"/>
      <c r="BG913" s="173"/>
      <c r="BH913" s="173"/>
      <c r="BI913" s="173"/>
      <c r="BJ913" s="173"/>
      <c r="BK913" s="173"/>
      <c r="BL913" s="173"/>
      <c r="BM913" s="173"/>
    </row>
    <row r="914" spans="1:65">
      <c r="A914" s="173"/>
      <c r="B914" s="173"/>
      <c r="C914" s="173"/>
      <c r="D914" s="173"/>
      <c r="E914" s="173"/>
      <c r="F914" s="173"/>
      <c r="G914" s="173"/>
      <c r="H914" s="173"/>
      <c r="I914" s="173"/>
      <c r="J914" s="173"/>
      <c r="K914" s="322"/>
      <c r="L914" s="173"/>
      <c r="M914" s="173"/>
      <c r="Q914" s="173"/>
      <c r="R914" s="173"/>
      <c r="S914" s="173"/>
      <c r="T914" s="173"/>
      <c r="U914" s="173"/>
      <c r="V914" s="173"/>
      <c r="W914" s="173"/>
      <c r="X914" s="173"/>
      <c r="Y914" s="173"/>
      <c r="Z914" s="173"/>
      <c r="AA914" s="173"/>
      <c r="AB914" s="173"/>
      <c r="AC914" s="173"/>
      <c r="AD914" s="173"/>
      <c r="AE914" s="173"/>
      <c r="AF914" s="173"/>
      <c r="AG914" s="173"/>
      <c r="AH914" s="173"/>
      <c r="AI914" s="173"/>
      <c r="AJ914" s="173"/>
      <c r="AK914" s="173"/>
      <c r="AL914" s="173"/>
      <c r="AM914" s="173"/>
      <c r="AN914" s="173"/>
      <c r="AO914" s="173"/>
      <c r="AP914" s="173"/>
      <c r="AQ914" s="173"/>
      <c r="AR914" s="173"/>
      <c r="AS914" s="173"/>
      <c r="AT914" s="173"/>
      <c r="AU914" s="173"/>
      <c r="AV914" s="173"/>
      <c r="AW914" s="173"/>
      <c r="AX914" s="173"/>
      <c r="AY914" s="173"/>
      <c r="AZ914" s="173"/>
      <c r="BA914" s="173"/>
      <c r="BB914" s="173"/>
      <c r="BC914" s="173"/>
      <c r="BD914" s="173"/>
      <c r="BE914" s="173"/>
      <c r="BF914" s="173"/>
      <c r="BG914" s="173"/>
      <c r="BH914" s="173"/>
      <c r="BI914" s="173"/>
      <c r="BJ914" s="173"/>
      <c r="BK914" s="173"/>
      <c r="BL914" s="173"/>
      <c r="BM914" s="173"/>
    </row>
    <row r="915" spans="1:65">
      <c r="A915" s="173"/>
      <c r="B915" s="173"/>
      <c r="C915" s="173"/>
      <c r="D915" s="173"/>
      <c r="E915" s="173"/>
      <c r="F915" s="173"/>
      <c r="G915" s="173"/>
      <c r="H915" s="173"/>
      <c r="I915" s="173"/>
      <c r="J915" s="173"/>
      <c r="K915" s="322"/>
      <c r="L915" s="173"/>
      <c r="M915" s="173"/>
      <c r="Q915" s="173"/>
      <c r="R915" s="173"/>
      <c r="S915" s="173"/>
      <c r="T915" s="173"/>
      <c r="U915" s="173"/>
      <c r="V915" s="173"/>
      <c r="W915" s="173"/>
      <c r="X915" s="173"/>
      <c r="Y915" s="173"/>
      <c r="Z915" s="173"/>
      <c r="AA915" s="173"/>
      <c r="AB915" s="173"/>
      <c r="AC915" s="173"/>
      <c r="AD915" s="173"/>
      <c r="AE915" s="173"/>
      <c r="AF915" s="173"/>
      <c r="AG915" s="173"/>
      <c r="AH915" s="173"/>
      <c r="AI915" s="173"/>
      <c r="AJ915" s="173"/>
      <c r="AK915" s="173"/>
      <c r="AL915" s="173"/>
      <c r="AM915" s="173"/>
      <c r="AN915" s="173"/>
      <c r="AO915" s="173"/>
      <c r="AP915" s="173"/>
      <c r="AQ915" s="173"/>
      <c r="AR915" s="173"/>
      <c r="AS915" s="173"/>
      <c r="AT915" s="173"/>
      <c r="AU915" s="173"/>
      <c r="AV915" s="173"/>
      <c r="AW915" s="173"/>
      <c r="AX915" s="173"/>
      <c r="AY915" s="173"/>
      <c r="AZ915" s="173"/>
      <c r="BA915" s="173"/>
      <c r="BB915" s="173"/>
      <c r="BC915" s="173"/>
      <c r="BD915" s="173"/>
      <c r="BE915" s="173"/>
      <c r="BF915" s="173"/>
      <c r="BG915" s="173"/>
      <c r="BH915" s="173"/>
      <c r="BI915" s="173"/>
      <c r="BJ915" s="173"/>
      <c r="BK915" s="173"/>
      <c r="BL915" s="173"/>
      <c r="BM915" s="173"/>
    </row>
    <row r="916" spans="1:65">
      <c r="A916" s="173"/>
      <c r="B916" s="173"/>
      <c r="C916" s="173"/>
      <c r="D916" s="173"/>
      <c r="E916" s="173"/>
      <c r="F916" s="173"/>
      <c r="G916" s="173"/>
      <c r="H916" s="173"/>
      <c r="I916" s="173"/>
      <c r="J916" s="173"/>
      <c r="K916" s="322"/>
      <c r="L916" s="173"/>
      <c r="M916" s="173"/>
      <c r="Q916" s="173"/>
      <c r="R916" s="173"/>
      <c r="S916" s="173"/>
      <c r="T916" s="173"/>
      <c r="U916" s="173"/>
      <c r="V916" s="173"/>
      <c r="W916" s="173"/>
      <c r="X916" s="173"/>
      <c r="Y916" s="173"/>
      <c r="Z916" s="173"/>
      <c r="AA916" s="173"/>
      <c r="AB916" s="173"/>
      <c r="AC916" s="173"/>
      <c r="AD916" s="173"/>
      <c r="AE916" s="173"/>
      <c r="AF916" s="173"/>
      <c r="AG916" s="173"/>
      <c r="AH916" s="173"/>
      <c r="AI916" s="173"/>
      <c r="AJ916" s="173"/>
      <c r="AK916" s="173"/>
      <c r="AL916" s="173"/>
      <c r="AM916" s="173"/>
      <c r="AN916" s="173"/>
      <c r="AO916" s="173"/>
      <c r="AP916" s="173"/>
      <c r="AQ916" s="173"/>
      <c r="AR916" s="173"/>
      <c r="AS916" s="173"/>
      <c r="AT916" s="173"/>
      <c r="AU916" s="173"/>
      <c r="AV916" s="173"/>
      <c r="AW916" s="173"/>
      <c r="AX916" s="173"/>
      <c r="AY916" s="173"/>
      <c r="AZ916" s="173"/>
      <c r="BA916" s="173"/>
      <c r="BB916" s="173"/>
      <c r="BC916" s="173"/>
      <c r="BD916" s="173"/>
      <c r="BE916" s="173"/>
      <c r="BF916" s="173"/>
      <c r="BG916" s="173"/>
      <c r="BH916" s="173"/>
      <c r="BI916" s="173"/>
      <c r="BJ916" s="173"/>
      <c r="BK916" s="173"/>
      <c r="BL916" s="173"/>
      <c r="BM916" s="173"/>
    </row>
    <row r="917" spans="1:65">
      <c r="A917" s="173"/>
      <c r="B917" s="173"/>
      <c r="C917" s="173"/>
      <c r="D917" s="173"/>
      <c r="E917" s="173"/>
      <c r="F917" s="173"/>
      <c r="G917" s="173"/>
      <c r="H917" s="173"/>
      <c r="I917" s="173"/>
      <c r="J917" s="173"/>
      <c r="K917" s="322"/>
      <c r="L917" s="173"/>
      <c r="M917" s="173"/>
      <c r="Q917" s="173"/>
      <c r="R917" s="173"/>
      <c r="S917" s="173"/>
      <c r="T917" s="173"/>
      <c r="U917" s="173"/>
      <c r="V917" s="173"/>
      <c r="W917" s="173"/>
      <c r="X917" s="173"/>
      <c r="Y917" s="173"/>
      <c r="Z917" s="173"/>
      <c r="AA917" s="173"/>
      <c r="AB917" s="173"/>
      <c r="AC917" s="173"/>
      <c r="AD917" s="173"/>
      <c r="AE917" s="173"/>
      <c r="AF917" s="173"/>
      <c r="AG917" s="173"/>
      <c r="AH917" s="173"/>
      <c r="AI917" s="173"/>
      <c r="AJ917" s="173"/>
      <c r="AK917" s="173"/>
      <c r="AL917" s="173"/>
      <c r="AM917" s="173"/>
      <c r="AN917" s="173"/>
      <c r="AO917" s="173"/>
      <c r="AP917" s="173"/>
      <c r="AQ917" s="173"/>
      <c r="AR917" s="173"/>
      <c r="AS917" s="173"/>
      <c r="AT917" s="173"/>
      <c r="AU917" s="173"/>
      <c r="AV917" s="173"/>
      <c r="AW917" s="173"/>
      <c r="AX917" s="173"/>
      <c r="AY917" s="173"/>
      <c r="AZ917" s="173"/>
      <c r="BA917" s="173"/>
      <c r="BB917" s="173"/>
      <c r="BC917" s="173"/>
      <c r="BD917" s="173"/>
      <c r="BE917" s="173"/>
      <c r="BF917" s="173"/>
      <c r="BG917" s="173"/>
      <c r="BH917" s="173"/>
      <c r="BI917" s="173"/>
      <c r="BJ917" s="173"/>
      <c r="BK917" s="173"/>
      <c r="BL917" s="173"/>
      <c r="BM917" s="173"/>
    </row>
    <row r="918" spans="1:65">
      <c r="A918" s="173"/>
      <c r="B918" s="173"/>
      <c r="C918" s="173"/>
      <c r="D918" s="173"/>
      <c r="E918" s="173"/>
      <c r="F918" s="173"/>
      <c r="G918" s="173"/>
      <c r="H918" s="173"/>
      <c r="I918" s="173"/>
      <c r="J918" s="173"/>
      <c r="K918" s="322"/>
      <c r="L918" s="173"/>
      <c r="M918" s="173"/>
      <c r="Q918" s="173"/>
      <c r="R918" s="173"/>
      <c r="S918" s="173"/>
      <c r="T918" s="173"/>
      <c r="U918" s="173"/>
      <c r="V918" s="173"/>
      <c r="W918" s="173"/>
      <c r="X918" s="173"/>
      <c r="Y918" s="173"/>
      <c r="Z918" s="173"/>
      <c r="AA918" s="173"/>
      <c r="AB918" s="173"/>
      <c r="AC918" s="173"/>
      <c r="AD918" s="173"/>
      <c r="AE918" s="173"/>
      <c r="AF918" s="173"/>
      <c r="AG918" s="173"/>
      <c r="AH918" s="173"/>
      <c r="AI918" s="173"/>
      <c r="AJ918" s="173"/>
      <c r="AK918" s="173"/>
      <c r="AL918" s="173"/>
      <c r="AM918" s="173"/>
      <c r="AN918" s="173"/>
      <c r="AO918" s="173"/>
      <c r="AP918" s="173"/>
      <c r="AQ918" s="173"/>
      <c r="AR918" s="173"/>
      <c r="AS918" s="173"/>
      <c r="AT918" s="173"/>
      <c r="AU918" s="173"/>
      <c r="AV918" s="173"/>
      <c r="AW918" s="173"/>
      <c r="AX918" s="173"/>
      <c r="AY918" s="173"/>
      <c r="AZ918" s="173"/>
      <c r="BA918" s="173"/>
      <c r="BB918" s="173"/>
      <c r="BC918" s="173"/>
      <c r="BD918" s="173"/>
      <c r="BE918" s="173"/>
      <c r="BF918" s="173"/>
      <c r="BG918" s="173"/>
      <c r="BH918" s="173"/>
      <c r="BI918" s="173"/>
      <c r="BJ918" s="173"/>
      <c r="BK918" s="173"/>
      <c r="BL918" s="173"/>
      <c r="BM918" s="173"/>
    </row>
    <row r="919" spans="1:65">
      <c r="A919" s="173"/>
      <c r="B919" s="173"/>
      <c r="C919" s="173"/>
      <c r="D919" s="173"/>
      <c r="E919" s="173"/>
      <c r="F919" s="173"/>
      <c r="G919" s="173"/>
      <c r="H919" s="173"/>
      <c r="I919" s="173"/>
      <c r="J919" s="173"/>
      <c r="K919" s="322"/>
      <c r="L919" s="173"/>
      <c r="M919" s="173"/>
      <c r="Q919" s="173"/>
      <c r="R919" s="173"/>
      <c r="S919" s="173"/>
      <c r="T919" s="173"/>
      <c r="U919" s="173"/>
      <c r="V919" s="173"/>
      <c r="W919" s="173"/>
      <c r="X919" s="173"/>
      <c r="Y919" s="173"/>
      <c r="Z919" s="173"/>
      <c r="AA919" s="173"/>
      <c r="AB919" s="173"/>
      <c r="AC919" s="173"/>
      <c r="AD919" s="173"/>
      <c r="AE919" s="173"/>
      <c r="AF919" s="173"/>
      <c r="AG919" s="173"/>
      <c r="AH919" s="173"/>
      <c r="AI919" s="173"/>
      <c r="AJ919" s="173"/>
      <c r="AK919" s="173"/>
      <c r="AL919" s="173"/>
      <c r="AM919" s="173"/>
      <c r="AN919" s="173"/>
      <c r="AO919" s="173"/>
      <c r="AP919" s="173"/>
      <c r="AQ919" s="173"/>
      <c r="AR919" s="173"/>
      <c r="AS919" s="173"/>
      <c r="AT919" s="173"/>
      <c r="AU919" s="173"/>
      <c r="AV919" s="173"/>
      <c r="AW919" s="173"/>
      <c r="AX919" s="173"/>
      <c r="AY919" s="173"/>
      <c r="AZ919" s="173"/>
      <c r="BA919" s="173"/>
      <c r="BB919" s="173"/>
      <c r="BC919" s="173"/>
      <c r="BD919" s="173"/>
      <c r="BE919" s="173"/>
      <c r="BF919" s="173"/>
      <c r="BG919" s="173"/>
      <c r="BH919" s="173"/>
      <c r="BI919" s="173"/>
      <c r="BJ919" s="173"/>
      <c r="BK919" s="173"/>
      <c r="BL919" s="173"/>
      <c r="BM919" s="173"/>
    </row>
    <row r="920" spans="1:65">
      <c r="A920" s="173"/>
      <c r="B920" s="173"/>
      <c r="C920" s="173"/>
      <c r="D920" s="173"/>
      <c r="E920" s="173"/>
      <c r="F920" s="173"/>
      <c r="G920" s="173"/>
      <c r="H920" s="173"/>
      <c r="I920" s="173"/>
      <c r="J920" s="173"/>
      <c r="K920" s="322"/>
      <c r="L920" s="173"/>
      <c r="M920" s="173"/>
      <c r="Q920" s="173"/>
      <c r="R920" s="173"/>
      <c r="S920" s="173"/>
      <c r="T920" s="173"/>
      <c r="U920" s="173"/>
      <c r="V920" s="173"/>
      <c r="W920" s="173"/>
      <c r="X920" s="173"/>
      <c r="Y920" s="173"/>
      <c r="Z920" s="173"/>
      <c r="AA920" s="173"/>
      <c r="AB920" s="173"/>
      <c r="AC920" s="173"/>
      <c r="AD920" s="173"/>
      <c r="AE920" s="173"/>
      <c r="AF920" s="173"/>
      <c r="AG920" s="173"/>
      <c r="AH920" s="173"/>
      <c r="AI920" s="173"/>
      <c r="AJ920" s="173"/>
      <c r="AK920" s="173"/>
      <c r="AL920" s="173"/>
      <c r="AM920" s="173"/>
      <c r="AN920" s="173"/>
      <c r="AO920" s="173"/>
      <c r="AP920" s="173"/>
      <c r="AQ920" s="173"/>
      <c r="AR920" s="173"/>
      <c r="AS920" s="173"/>
      <c r="AT920" s="173"/>
      <c r="AU920" s="173"/>
      <c r="AV920" s="173"/>
      <c r="AW920" s="173"/>
      <c r="AX920" s="173"/>
      <c r="AY920" s="173"/>
      <c r="AZ920" s="173"/>
      <c r="BA920" s="173"/>
      <c r="BB920" s="173"/>
      <c r="BC920" s="173"/>
      <c r="BD920" s="173"/>
      <c r="BE920" s="173"/>
      <c r="BF920" s="173"/>
      <c r="BG920" s="173"/>
      <c r="BH920" s="173"/>
      <c r="BI920" s="173"/>
      <c r="BJ920" s="173"/>
      <c r="BK920" s="173"/>
      <c r="BL920" s="173"/>
      <c r="BM920" s="173"/>
    </row>
    <row r="921" spans="1:65">
      <c r="A921" s="173"/>
      <c r="B921" s="173"/>
      <c r="C921" s="173"/>
      <c r="D921" s="173"/>
      <c r="E921" s="173"/>
      <c r="F921" s="173"/>
      <c r="G921" s="173"/>
      <c r="H921" s="173"/>
      <c r="I921" s="173"/>
      <c r="J921" s="173"/>
      <c r="K921" s="322"/>
      <c r="L921" s="173"/>
      <c r="M921" s="173"/>
      <c r="Q921" s="173"/>
      <c r="R921" s="173"/>
      <c r="S921" s="173"/>
      <c r="T921" s="173"/>
      <c r="U921" s="173"/>
      <c r="V921" s="173"/>
      <c r="W921" s="173"/>
      <c r="X921" s="173"/>
      <c r="Y921" s="173"/>
      <c r="Z921" s="173"/>
      <c r="AA921" s="173"/>
      <c r="AB921" s="173"/>
      <c r="AC921" s="173"/>
      <c r="AD921" s="173"/>
      <c r="AE921" s="173"/>
      <c r="AF921" s="173"/>
      <c r="AG921" s="173"/>
      <c r="AH921" s="173"/>
      <c r="AI921" s="173"/>
      <c r="AJ921" s="173"/>
      <c r="AK921" s="173"/>
      <c r="AL921" s="173"/>
      <c r="AM921" s="173"/>
      <c r="AN921" s="173"/>
      <c r="AO921" s="173"/>
      <c r="AP921" s="173"/>
      <c r="AQ921" s="173"/>
      <c r="AR921" s="173"/>
      <c r="AS921" s="173"/>
      <c r="AT921" s="173"/>
      <c r="AU921" s="173"/>
      <c r="AV921" s="173"/>
      <c r="AW921" s="173"/>
      <c r="AX921" s="173"/>
      <c r="AY921" s="173"/>
      <c r="AZ921" s="173"/>
      <c r="BA921" s="173"/>
      <c r="BB921" s="173"/>
      <c r="BC921" s="173"/>
      <c r="BD921" s="173"/>
      <c r="BE921" s="173"/>
      <c r="BF921" s="173"/>
      <c r="BG921" s="173"/>
      <c r="BH921" s="173"/>
      <c r="BI921" s="173"/>
      <c r="BJ921" s="173"/>
      <c r="BK921" s="173"/>
      <c r="BL921" s="173"/>
      <c r="BM921" s="173"/>
    </row>
    <row r="922" spans="1:65">
      <c r="A922" s="173"/>
      <c r="B922" s="173"/>
      <c r="C922" s="173"/>
      <c r="D922" s="173"/>
      <c r="E922" s="173"/>
      <c r="F922" s="173"/>
      <c r="G922" s="173"/>
      <c r="H922" s="173"/>
      <c r="I922" s="173"/>
      <c r="J922" s="173"/>
      <c r="K922" s="322"/>
      <c r="L922" s="173"/>
      <c r="M922" s="173"/>
      <c r="Q922" s="173"/>
      <c r="R922" s="173"/>
      <c r="S922" s="173"/>
      <c r="T922" s="173"/>
      <c r="U922" s="173"/>
      <c r="V922" s="173"/>
      <c r="W922" s="173"/>
      <c r="X922" s="173"/>
      <c r="Y922" s="173"/>
      <c r="Z922" s="173"/>
      <c r="AA922" s="173"/>
      <c r="AB922" s="173"/>
      <c r="AC922" s="173"/>
      <c r="AD922" s="173"/>
      <c r="AE922" s="173"/>
      <c r="AF922" s="173"/>
      <c r="AG922" s="173"/>
      <c r="AH922" s="173"/>
      <c r="AI922" s="173"/>
      <c r="AJ922" s="173"/>
      <c r="AK922" s="173"/>
      <c r="AL922" s="173"/>
      <c r="AM922" s="173"/>
      <c r="AN922" s="173"/>
      <c r="AO922" s="173"/>
      <c r="AP922" s="173"/>
      <c r="AQ922" s="173"/>
      <c r="AR922" s="173"/>
      <c r="AS922" s="173"/>
      <c r="AT922" s="173"/>
      <c r="AU922" s="173"/>
      <c r="AV922" s="173"/>
      <c r="AW922" s="173"/>
      <c r="AX922" s="173"/>
      <c r="AY922" s="173"/>
      <c r="AZ922" s="173"/>
      <c r="BA922" s="173"/>
      <c r="BB922" s="173"/>
      <c r="BC922" s="173"/>
      <c r="BD922" s="173"/>
      <c r="BE922" s="173"/>
      <c r="BF922" s="173"/>
      <c r="BG922" s="173"/>
      <c r="BH922" s="173"/>
      <c r="BI922" s="173"/>
      <c r="BJ922" s="173"/>
      <c r="BK922" s="173"/>
      <c r="BL922" s="173"/>
      <c r="BM922" s="173"/>
    </row>
    <row r="923" spans="1:65">
      <c r="A923" s="173"/>
      <c r="B923" s="173"/>
      <c r="C923" s="173"/>
      <c r="D923" s="173"/>
      <c r="E923" s="173"/>
      <c r="F923" s="173"/>
      <c r="G923" s="173"/>
      <c r="H923" s="173"/>
      <c r="I923" s="173"/>
      <c r="J923" s="173"/>
      <c r="K923" s="322"/>
      <c r="L923" s="173"/>
      <c r="M923" s="173"/>
      <c r="Q923" s="173"/>
      <c r="R923" s="173"/>
      <c r="S923" s="173"/>
      <c r="T923" s="173"/>
      <c r="U923" s="173"/>
      <c r="V923" s="173"/>
      <c r="W923" s="173"/>
      <c r="X923" s="173"/>
      <c r="Y923" s="173"/>
      <c r="Z923" s="173"/>
      <c r="AA923" s="173"/>
      <c r="AB923" s="173"/>
      <c r="AC923" s="173"/>
      <c r="AD923" s="173"/>
      <c r="AE923" s="173"/>
      <c r="AF923" s="173"/>
      <c r="AG923" s="173"/>
      <c r="AH923" s="173"/>
      <c r="AI923" s="173"/>
      <c r="AJ923" s="173"/>
      <c r="AK923" s="173"/>
      <c r="AL923" s="173"/>
      <c r="AM923" s="173"/>
      <c r="AN923" s="173"/>
      <c r="AO923" s="173"/>
      <c r="AP923" s="173"/>
      <c r="AQ923" s="173"/>
      <c r="AR923" s="173"/>
      <c r="AS923" s="173"/>
      <c r="AT923" s="173"/>
      <c r="AU923" s="173"/>
      <c r="AV923" s="173"/>
      <c r="AW923" s="173"/>
      <c r="AX923" s="173"/>
      <c r="AY923" s="173"/>
      <c r="AZ923" s="173"/>
      <c r="BA923" s="173"/>
      <c r="BB923" s="173"/>
      <c r="BC923" s="173"/>
      <c r="BD923" s="173"/>
      <c r="BE923" s="173"/>
      <c r="BF923" s="173"/>
      <c r="BG923" s="173"/>
      <c r="BH923" s="173"/>
      <c r="BI923" s="173"/>
      <c r="BJ923" s="173"/>
      <c r="BK923" s="173"/>
      <c r="BL923" s="173"/>
      <c r="BM923" s="173"/>
    </row>
    <row r="924" spans="1:65">
      <c r="A924" s="173"/>
      <c r="B924" s="173"/>
      <c r="C924" s="173"/>
      <c r="D924" s="173"/>
      <c r="E924" s="173"/>
      <c r="F924" s="173"/>
      <c r="G924" s="173"/>
      <c r="H924" s="173"/>
      <c r="I924" s="173"/>
      <c r="J924" s="173"/>
      <c r="K924" s="322"/>
      <c r="L924" s="173"/>
      <c r="M924" s="173"/>
      <c r="Q924" s="173"/>
      <c r="R924" s="173"/>
      <c r="S924" s="173"/>
      <c r="T924" s="173"/>
      <c r="U924" s="173"/>
      <c r="V924" s="173"/>
      <c r="W924" s="173"/>
      <c r="X924" s="173"/>
      <c r="Y924" s="173"/>
      <c r="Z924" s="173"/>
      <c r="AA924" s="173"/>
      <c r="AB924" s="173"/>
      <c r="AC924" s="173"/>
      <c r="AD924" s="173"/>
      <c r="AE924" s="173"/>
      <c r="AF924" s="173"/>
      <c r="AG924" s="173"/>
      <c r="AH924" s="173"/>
      <c r="AI924" s="173"/>
      <c r="AJ924" s="173"/>
      <c r="AK924" s="173"/>
      <c r="AL924" s="173"/>
      <c r="AM924" s="173"/>
      <c r="AN924" s="173"/>
      <c r="AO924" s="173"/>
      <c r="AP924" s="173"/>
      <c r="AQ924" s="173"/>
      <c r="AR924" s="173"/>
      <c r="AS924" s="173"/>
      <c r="AT924" s="173"/>
      <c r="AU924" s="173"/>
      <c r="AV924" s="173"/>
      <c r="AW924" s="173"/>
      <c r="AX924" s="173"/>
      <c r="AY924" s="173"/>
      <c r="AZ924" s="173"/>
      <c r="BA924" s="173"/>
      <c r="BB924" s="173"/>
      <c r="BC924" s="173"/>
      <c r="BD924" s="173"/>
      <c r="BE924" s="173"/>
      <c r="BF924" s="173"/>
      <c r="BG924" s="173"/>
      <c r="BH924" s="173"/>
      <c r="BI924" s="173"/>
      <c r="BJ924" s="173"/>
      <c r="BK924" s="173"/>
      <c r="BL924" s="173"/>
      <c r="BM924" s="173"/>
    </row>
    <row r="925" spans="1:65">
      <c r="A925" s="173"/>
      <c r="B925" s="173"/>
      <c r="C925" s="173"/>
      <c r="D925" s="173"/>
      <c r="E925" s="173"/>
      <c r="F925" s="173"/>
      <c r="G925" s="173"/>
      <c r="H925" s="173"/>
      <c r="I925" s="173"/>
      <c r="J925" s="173"/>
      <c r="K925" s="322"/>
      <c r="L925" s="173"/>
      <c r="M925" s="173"/>
      <c r="Q925" s="173"/>
      <c r="R925" s="173"/>
      <c r="S925" s="173"/>
      <c r="T925" s="173"/>
      <c r="U925" s="173"/>
      <c r="V925" s="173"/>
      <c r="W925" s="173"/>
      <c r="X925" s="173"/>
      <c r="Y925" s="173"/>
      <c r="Z925" s="173"/>
      <c r="AA925" s="173"/>
      <c r="AB925" s="173"/>
      <c r="AC925" s="173"/>
      <c r="AD925" s="173"/>
      <c r="AE925" s="173"/>
      <c r="AF925" s="173"/>
      <c r="AG925" s="173"/>
      <c r="AH925" s="173"/>
      <c r="AI925" s="173"/>
      <c r="AJ925" s="173"/>
      <c r="AK925" s="173"/>
      <c r="AL925" s="173"/>
      <c r="AM925" s="173"/>
      <c r="AN925" s="173"/>
      <c r="AO925" s="173"/>
      <c r="AP925" s="173"/>
      <c r="AQ925" s="173"/>
      <c r="AR925" s="173"/>
      <c r="AS925" s="173"/>
      <c r="AT925" s="173"/>
      <c r="AU925" s="173"/>
      <c r="AV925" s="173"/>
      <c r="AW925" s="173"/>
      <c r="AX925" s="173"/>
      <c r="AY925" s="173"/>
      <c r="AZ925" s="173"/>
      <c r="BA925" s="173"/>
      <c r="BB925" s="173"/>
      <c r="BC925" s="173"/>
      <c r="BD925" s="173"/>
      <c r="BE925" s="173"/>
      <c r="BF925" s="173"/>
      <c r="BG925" s="173"/>
      <c r="BH925" s="173"/>
      <c r="BI925" s="173"/>
      <c r="BJ925" s="173"/>
      <c r="BK925" s="173"/>
      <c r="BL925" s="173"/>
      <c r="BM925" s="173"/>
    </row>
    <row r="926" spans="1:65">
      <c r="A926" s="173"/>
      <c r="B926" s="173"/>
      <c r="C926" s="173"/>
      <c r="D926" s="173"/>
      <c r="E926" s="173"/>
      <c r="F926" s="173"/>
      <c r="G926" s="173"/>
      <c r="H926" s="173"/>
      <c r="I926" s="173"/>
      <c r="J926" s="173"/>
      <c r="K926" s="322"/>
      <c r="L926" s="173"/>
      <c r="M926" s="173"/>
      <c r="Q926" s="173"/>
      <c r="R926" s="173"/>
      <c r="S926" s="173"/>
      <c r="T926" s="173"/>
      <c r="U926" s="173"/>
      <c r="V926" s="173"/>
      <c r="W926" s="173"/>
      <c r="X926" s="173"/>
      <c r="Y926" s="173"/>
      <c r="Z926" s="173"/>
      <c r="AA926" s="173"/>
      <c r="AB926" s="173"/>
      <c r="AC926" s="173"/>
      <c r="AD926" s="173"/>
      <c r="AE926" s="173"/>
      <c r="AF926" s="173"/>
      <c r="AG926" s="173"/>
      <c r="AH926" s="173"/>
      <c r="AI926" s="173"/>
      <c r="AJ926" s="173"/>
      <c r="AK926" s="173"/>
      <c r="AL926" s="173"/>
      <c r="AM926" s="173"/>
      <c r="AN926" s="173"/>
      <c r="AO926" s="173"/>
      <c r="AP926" s="173"/>
      <c r="AQ926" s="173"/>
      <c r="AR926" s="173"/>
      <c r="AS926" s="173"/>
      <c r="AT926" s="173"/>
      <c r="AU926" s="173"/>
      <c r="AV926" s="173"/>
      <c r="AW926" s="173"/>
      <c r="AX926" s="173"/>
      <c r="AY926" s="173"/>
      <c r="AZ926" s="173"/>
      <c r="BA926" s="173"/>
      <c r="BB926" s="173"/>
      <c r="BC926" s="173"/>
      <c r="BD926" s="173"/>
      <c r="BE926" s="173"/>
      <c r="BF926" s="173"/>
      <c r="BG926" s="173"/>
      <c r="BH926" s="173"/>
      <c r="BI926" s="173"/>
      <c r="BJ926" s="173"/>
      <c r="BK926" s="173"/>
      <c r="BL926" s="173"/>
      <c r="BM926" s="173"/>
    </row>
    <row r="927" spans="1:65">
      <c r="A927" s="173"/>
      <c r="B927" s="173"/>
      <c r="C927" s="173"/>
      <c r="D927" s="173"/>
      <c r="E927" s="173"/>
      <c r="F927" s="173"/>
      <c r="G927" s="173"/>
      <c r="H927" s="173"/>
      <c r="I927" s="173"/>
      <c r="J927" s="173"/>
      <c r="K927" s="322"/>
      <c r="L927" s="173"/>
      <c r="M927" s="173"/>
      <c r="Q927" s="173"/>
      <c r="R927" s="173"/>
      <c r="S927" s="173"/>
      <c r="T927" s="173"/>
      <c r="U927" s="173"/>
      <c r="V927" s="173"/>
      <c r="W927" s="173"/>
      <c r="X927" s="173"/>
      <c r="Y927" s="173"/>
      <c r="Z927" s="173"/>
      <c r="AA927" s="173"/>
      <c r="AB927" s="173"/>
      <c r="AC927" s="173"/>
      <c r="AD927" s="173"/>
      <c r="AE927" s="173"/>
      <c r="AF927" s="173"/>
      <c r="AG927" s="173"/>
      <c r="AH927" s="173"/>
      <c r="AI927" s="173"/>
      <c r="AJ927" s="173"/>
      <c r="AK927" s="173"/>
      <c r="AL927" s="173"/>
      <c r="AM927" s="173"/>
      <c r="AN927" s="173"/>
      <c r="AO927" s="173"/>
      <c r="AP927" s="173"/>
      <c r="AQ927" s="173"/>
      <c r="AR927" s="173"/>
      <c r="AS927" s="173"/>
      <c r="AT927" s="173"/>
      <c r="AU927" s="173"/>
      <c r="AV927" s="173"/>
      <c r="AW927" s="173"/>
      <c r="AX927" s="173"/>
      <c r="AY927" s="173"/>
      <c r="AZ927" s="173"/>
      <c r="BA927" s="173"/>
      <c r="BB927" s="173"/>
      <c r="BC927" s="173"/>
      <c r="BD927" s="173"/>
      <c r="BE927" s="173"/>
      <c r="BF927" s="173"/>
      <c r="BG927" s="173"/>
      <c r="BH927" s="173"/>
      <c r="BI927" s="173"/>
      <c r="BJ927" s="173"/>
      <c r="BK927" s="173"/>
      <c r="BL927" s="173"/>
      <c r="BM927" s="173"/>
    </row>
    <row r="928" spans="1:65">
      <c r="A928" s="173"/>
      <c r="B928" s="173"/>
      <c r="C928" s="173"/>
      <c r="D928" s="173"/>
      <c r="E928" s="173"/>
      <c r="F928" s="173"/>
      <c r="G928" s="173"/>
      <c r="H928" s="173"/>
      <c r="I928" s="173"/>
      <c r="J928" s="173"/>
      <c r="K928" s="322"/>
      <c r="L928" s="173"/>
      <c r="M928" s="173"/>
      <c r="Q928" s="173"/>
      <c r="R928" s="173"/>
      <c r="S928" s="173"/>
      <c r="T928" s="173"/>
      <c r="U928" s="173"/>
      <c r="V928" s="173"/>
      <c r="W928" s="173"/>
      <c r="X928" s="173"/>
      <c r="Y928" s="173"/>
      <c r="Z928" s="173"/>
      <c r="AA928" s="173"/>
      <c r="AB928" s="173"/>
      <c r="AC928" s="173"/>
      <c r="AD928" s="173"/>
      <c r="AE928" s="173"/>
      <c r="AF928" s="173"/>
      <c r="AG928" s="173"/>
      <c r="AH928" s="173"/>
      <c r="AI928" s="173"/>
      <c r="AJ928" s="173"/>
      <c r="AK928" s="173"/>
      <c r="AL928" s="173"/>
      <c r="AM928" s="173"/>
      <c r="AN928" s="173"/>
      <c r="AO928" s="173"/>
      <c r="AP928" s="173"/>
      <c r="AQ928" s="173"/>
      <c r="AR928" s="173"/>
      <c r="AS928" s="173"/>
      <c r="AT928" s="173"/>
      <c r="AU928" s="173"/>
      <c r="AV928" s="173"/>
      <c r="AW928" s="173"/>
      <c r="AX928" s="173"/>
      <c r="AY928" s="173"/>
      <c r="AZ928" s="173"/>
      <c r="BA928" s="173"/>
      <c r="BB928" s="173"/>
      <c r="BC928" s="173"/>
      <c r="BD928" s="173"/>
      <c r="BE928" s="173"/>
      <c r="BF928" s="173"/>
      <c r="BG928" s="173"/>
      <c r="BH928" s="173"/>
      <c r="BI928" s="173"/>
      <c r="BJ928" s="173"/>
      <c r="BK928" s="173"/>
      <c r="BL928" s="173"/>
      <c r="BM928" s="173"/>
    </row>
    <row r="929" spans="1:65">
      <c r="A929" s="173"/>
      <c r="B929" s="173"/>
      <c r="C929" s="173"/>
      <c r="D929" s="173"/>
      <c r="E929" s="173"/>
      <c r="F929" s="173"/>
      <c r="G929" s="173"/>
      <c r="H929" s="173"/>
      <c r="I929" s="173"/>
      <c r="J929" s="173"/>
      <c r="K929" s="322"/>
      <c r="L929" s="173"/>
      <c r="M929" s="173"/>
      <c r="Q929" s="173"/>
      <c r="R929" s="173"/>
      <c r="S929" s="173"/>
      <c r="T929" s="173"/>
      <c r="U929" s="173"/>
      <c r="V929" s="173"/>
      <c r="W929" s="173"/>
      <c r="X929" s="173"/>
      <c r="Y929" s="173"/>
      <c r="Z929" s="173"/>
      <c r="AA929" s="173"/>
      <c r="AB929" s="173"/>
      <c r="AC929" s="173"/>
      <c r="AD929" s="173"/>
      <c r="AE929" s="173"/>
      <c r="AF929" s="173"/>
      <c r="AG929" s="173"/>
      <c r="AH929" s="173"/>
      <c r="AI929" s="173"/>
      <c r="AJ929" s="173"/>
      <c r="AK929" s="173"/>
      <c r="AL929" s="173"/>
      <c r="AM929" s="173"/>
      <c r="AN929" s="173"/>
      <c r="AO929" s="173"/>
      <c r="AP929" s="173"/>
      <c r="AQ929" s="173"/>
      <c r="AR929" s="173"/>
      <c r="AS929" s="173"/>
      <c r="AT929" s="173"/>
      <c r="AU929" s="173"/>
      <c r="AV929" s="173"/>
      <c r="AW929" s="173"/>
      <c r="AX929" s="173"/>
      <c r="AY929" s="173"/>
      <c r="AZ929" s="173"/>
      <c r="BA929" s="173"/>
      <c r="BB929" s="173"/>
      <c r="BC929" s="173"/>
      <c r="BD929" s="173"/>
      <c r="BE929" s="173"/>
      <c r="BF929" s="173"/>
      <c r="BG929" s="173"/>
      <c r="BH929" s="173"/>
      <c r="BI929" s="173"/>
      <c r="BJ929" s="173"/>
      <c r="BK929" s="173"/>
      <c r="BL929" s="173"/>
      <c r="BM929" s="173"/>
    </row>
    <row r="930" spans="1:65">
      <c r="A930" s="173"/>
      <c r="B930" s="173"/>
      <c r="C930" s="173"/>
      <c r="D930" s="173"/>
      <c r="E930" s="173"/>
      <c r="F930" s="173"/>
      <c r="G930" s="173"/>
      <c r="H930" s="173"/>
      <c r="I930" s="173"/>
      <c r="J930" s="173"/>
      <c r="K930" s="322"/>
      <c r="L930" s="173"/>
      <c r="M930" s="173"/>
      <c r="Q930" s="173"/>
      <c r="R930" s="173"/>
      <c r="S930" s="173"/>
      <c r="T930" s="173"/>
      <c r="U930" s="173"/>
      <c r="V930" s="173"/>
      <c r="W930" s="173"/>
      <c r="X930" s="173"/>
      <c r="Y930" s="173"/>
      <c r="Z930" s="173"/>
      <c r="AA930" s="173"/>
      <c r="AB930" s="173"/>
      <c r="AC930" s="173"/>
      <c r="AD930" s="173"/>
      <c r="AE930" s="173"/>
      <c r="AF930" s="173"/>
      <c r="AG930" s="173"/>
      <c r="AH930" s="173"/>
      <c r="AI930" s="173"/>
      <c r="AJ930" s="173"/>
      <c r="AK930" s="173"/>
      <c r="AL930" s="173"/>
      <c r="AM930" s="173"/>
      <c r="AN930" s="173"/>
      <c r="AO930" s="173"/>
      <c r="AP930" s="173"/>
      <c r="AQ930" s="173"/>
      <c r="AR930" s="173"/>
      <c r="AS930" s="173"/>
      <c r="AT930" s="173"/>
      <c r="AU930" s="173"/>
      <c r="AV930" s="173"/>
      <c r="AW930" s="173"/>
      <c r="AX930" s="173"/>
      <c r="AY930" s="173"/>
      <c r="AZ930" s="173"/>
      <c r="BA930" s="173"/>
      <c r="BB930" s="173"/>
      <c r="BC930" s="173"/>
      <c r="BD930" s="173"/>
      <c r="BE930" s="173"/>
      <c r="BF930" s="173"/>
      <c r="BG930" s="173"/>
      <c r="BH930" s="173"/>
      <c r="BI930" s="173"/>
      <c r="BJ930" s="173"/>
      <c r="BK930" s="173"/>
      <c r="BL930" s="173"/>
      <c r="BM930" s="173"/>
    </row>
    <row r="931" spans="1:65">
      <c r="A931" s="173"/>
      <c r="B931" s="173"/>
      <c r="C931" s="173"/>
      <c r="D931" s="173"/>
      <c r="E931" s="173"/>
      <c r="F931" s="173"/>
      <c r="G931" s="173"/>
      <c r="H931" s="173"/>
      <c r="I931" s="173"/>
      <c r="J931" s="173"/>
      <c r="K931" s="322"/>
      <c r="L931" s="173"/>
      <c r="M931" s="173"/>
      <c r="Q931" s="173"/>
      <c r="R931" s="173"/>
      <c r="S931" s="173"/>
      <c r="T931" s="173"/>
      <c r="U931" s="173"/>
      <c r="V931" s="173"/>
      <c r="W931" s="173"/>
      <c r="X931" s="173"/>
      <c r="Y931" s="173"/>
      <c r="Z931" s="173"/>
      <c r="AA931" s="173"/>
      <c r="AB931" s="173"/>
      <c r="AC931" s="173"/>
      <c r="AD931" s="173"/>
      <c r="AE931" s="173"/>
      <c r="AF931" s="173"/>
      <c r="AG931" s="173"/>
      <c r="AH931" s="173"/>
      <c r="AI931" s="173"/>
      <c r="AJ931" s="173"/>
      <c r="AK931" s="173"/>
      <c r="AL931" s="173"/>
      <c r="AM931" s="173"/>
      <c r="AN931" s="173"/>
      <c r="AO931" s="173"/>
      <c r="AP931" s="173"/>
      <c r="AQ931" s="173"/>
      <c r="AR931" s="173"/>
      <c r="AS931" s="173"/>
      <c r="AT931" s="173"/>
      <c r="AU931" s="173"/>
      <c r="AV931" s="173"/>
      <c r="AW931" s="173"/>
      <c r="AX931" s="173"/>
      <c r="AY931" s="173"/>
      <c r="AZ931" s="173"/>
      <c r="BA931" s="173"/>
      <c r="BB931" s="173"/>
      <c r="BC931" s="173"/>
      <c r="BD931" s="173"/>
      <c r="BE931" s="173"/>
      <c r="BF931" s="173"/>
      <c r="BG931" s="173"/>
      <c r="BH931" s="173"/>
      <c r="BI931" s="173"/>
      <c r="BJ931" s="173"/>
      <c r="BK931" s="173"/>
      <c r="BL931" s="173"/>
      <c r="BM931" s="173"/>
    </row>
    <row r="932" spans="1:65">
      <c r="A932" s="173"/>
      <c r="B932" s="173"/>
      <c r="C932" s="173"/>
      <c r="D932" s="173"/>
      <c r="E932" s="173"/>
      <c r="F932" s="173"/>
      <c r="G932" s="173"/>
      <c r="H932" s="173"/>
      <c r="I932" s="173"/>
      <c r="J932" s="173"/>
      <c r="K932" s="322"/>
      <c r="L932" s="173"/>
      <c r="M932" s="173"/>
      <c r="Q932" s="173"/>
      <c r="R932" s="173"/>
      <c r="S932" s="173"/>
      <c r="T932" s="173"/>
      <c r="U932" s="173"/>
      <c r="V932" s="173"/>
      <c r="W932" s="173"/>
      <c r="X932" s="173"/>
      <c r="Y932" s="173"/>
      <c r="Z932" s="173"/>
      <c r="AA932" s="173"/>
      <c r="AB932" s="173"/>
      <c r="AC932" s="173"/>
      <c r="AD932" s="173"/>
      <c r="AE932" s="173"/>
      <c r="AF932" s="173"/>
      <c r="AG932" s="173"/>
      <c r="AH932" s="173"/>
      <c r="AI932" s="173"/>
      <c r="AJ932" s="173"/>
      <c r="AK932" s="173"/>
      <c r="AL932" s="173"/>
      <c r="AM932" s="173"/>
      <c r="AN932" s="173"/>
      <c r="AO932" s="173"/>
      <c r="AP932" s="173"/>
      <c r="AQ932" s="173"/>
      <c r="AR932" s="173"/>
      <c r="AS932" s="173"/>
      <c r="AT932" s="173"/>
      <c r="AU932" s="173"/>
      <c r="AV932" s="173"/>
      <c r="AW932" s="173"/>
      <c r="AX932" s="173"/>
      <c r="AY932" s="173"/>
      <c r="AZ932" s="173"/>
      <c r="BA932" s="173"/>
      <c r="BB932" s="173"/>
      <c r="BC932" s="173"/>
      <c r="BD932" s="173"/>
      <c r="BE932" s="173"/>
      <c r="BF932" s="173"/>
      <c r="BG932" s="173"/>
      <c r="BH932" s="173"/>
      <c r="BI932" s="173"/>
      <c r="BJ932" s="173"/>
      <c r="BK932" s="173"/>
      <c r="BL932" s="173"/>
      <c r="BM932" s="173"/>
    </row>
    <row r="933" spans="1:65">
      <c r="A933" s="173"/>
      <c r="B933" s="173"/>
      <c r="C933" s="173"/>
      <c r="D933" s="173"/>
      <c r="E933" s="173"/>
      <c r="F933" s="173"/>
      <c r="G933" s="173"/>
      <c r="H933" s="173"/>
      <c r="I933" s="173"/>
      <c r="J933" s="173"/>
      <c r="K933" s="322"/>
      <c r="L933" s="173"/>
      <c r="M933" s="173"/>
      <c r="Q933" s="173"/>
      <c r="R933" s="173"/>
      <c r="S933" s="173"/>
      <c r="T933" s="173"/>
      <c r="U933" s="173"/>
      <c r="V933" s="173"/>
      <c r="W933" s="173"/>
      <c r="X933" s="173"/>
      <c r="Y933" s="173"/>
      <c r="Z933" s="173"/>
      <c r="AA933" s="173"/>
      <c r="AB933" s="173"/>
      <c r="AC933" s="173"/>
      <c r="AD933" s="173"/>
      <c r="AE933" s="173"/>
      <c r="AF933" s="173"/>
      <c r="AG933" s="173"/>
      <c r="AH933" s="173"/>
      <c r="AI933" s="173"/>
      <c r="AJ933" s="173"/>
      <c r="AK933" s="173"/>
      <c r="AL933" s="173"/>
      <c r="AM933" s="173"/>
      <c r="AN933" s="173"/>
      <c r="AO933" s="173"/>
      <c r="AP933" s="173"/>
      <c r="AQ933" s="173"/>
      <c r="AR933" s="173"/>
      <c r="AS933" s="173"/>
      <c r="AT933" s="173"/>
      <c r="AU933" s="173"/>
      <c r="AV933" s="173"/>
      <c r="AW933" s="173"/>
      <c r="AX933" s="173"/>
      <c r="AY933" s="173"/>
      <c r="AZ933" s="173"/>
      <c r="BA933" s="173"/>
      <c r="BB933" s="173"/>
      <c r="BC933" s="173"/>
      <c r="BD933" s="173"/>
      <c r="BE933" s="173"/>
      <c r="BF933" s="173"/>
      <c r="BG933" s="173"/>
      <c r="BH933" s="173"/>
      <c r="BI933" s="173"/>
      <c r="BJ933" s="173"/>
      <c r="BK933" s="173"/>
      <c r="BL933" s="173"/>
      <c r="BM933" s="173"/>
    </row>
    <row r="934" spans="1:65">
      <c r="A934" s="173"/>
      <c r="B934" s="173"/>
      <c r="C934" s="173"/>
      <c r="D934" s="173"/>
      <c r="E934" s="173"/>
      <c r="F934" s="173"/>
      <c r="G934" s="173"/>
      <c r="H934" s="173"/>
      <c r="I934" s="173"/>
      <c r="J934" s="173"/>
      <c r="K934" s="322"/>
      <c r="L934" s="173"/>
      <c r="M934" s="173"/>
      <c r="Q934" s="173"/>
      <c r="R934" s="173"/>
      <c r="S934" s="173"/>
      <c r="T934" s="173"/>
      <c r="U934" s="173"/>
      <c r="V934" s="173"/>
      <c r="W934" s="173"/>
      <c r="X934" s="173"/>
      <c r="Y934" s="173"/>
      <c r="Z934" s="173"/>
      <c r="AA934" s="173"/>
      <c r="AB934" s="173"/>
      <c r="AC934" s="173"/>
      <c r="AD934" s="173"/>
      <c r="AE934" s="173"/>
      <c r="AF934" s="173"/>
      <c r="AG934" s="173"/>
      <c r="AH934" s="173"/>
      <c r="AI934" s="173"/>
      <c r="AJ934" s="173"/>
      <c r="AK934" s="173"/>
      <c r="AL934" s="173"/>
      <c r="AM934" s="173"/>
      <c r="AN934" s="173"/>
      <c r="AO934" s="173"/>
      <c r="AP934" s="173"/>
      <c r="AQ934" s="173"/>
      <c r="AR934" s="173"/>
      <c r="AS934" s="173"/>
      <c r="AT934" s="173"/>
      <c r="AU934" s="173"/>
      <c r="AV934" s="173"/>
      <c r="AW934" s="173"/>
      <c r="AX934" s="173"/>
      <c r="AY934" s="173"/>
      <c r="AZ934" s="173"/>
      <c r="BA934" s="173"/>
      <c r="BB934" s="173"/>
      <c r="BC934" s="173"/>
      <c r="BD934" s="173"/>
      <c r="BE934" s="173"/>
      <c r="BF934" s="173"/>
      <c r="BG934" s="173"/>
      <c r="BH934" s="173"/>
      <c r="BI934" s="173"/>
      <c r="BJ934" s="173"/>
      <c r="BK934" s="173"/>
      <c r="BL934" s="173"/>
      <c r="BM934" s="173"/>
    </row>
    <row r="935" spans="1:65">
      <c r="A935" s="173"/>
      <c r="B935" s="173"/>
      <c r="C935" s="173"/>
      <c r="D935" s="173"/>
      <c r="E935" s="173"/>
      <c r="F935" s="173"/>
      <c r="G935" s="173"/>
      <c r="H935" s="173"/>
      <c r="I935" s="173"/>
      <c r="J935" s="173"/>
      <c r="K935" s="322"/>
      <c r="L935" s="173"/>
      <c r="M935" s="173"/>
      <c r="Q935" s="173"/>
      <c r="R935" s="173"/>
      <c r="S935" s="173"/>
      <c r="T935" s="173"/>
      <c r="U935" s="173"/>
      <c r="V935" s="173"/>
      <c r="W935" s="173"/>
      <c r="X935" s="173"/>
      <c r="Y935" s="173"/>
      <c r="Z935" s="173"/>
      <c r="AA935" s="173"/>
      <c r="AB935" s="173"/>
      <c r="AC935" s="173"/>
      <c r="AD935" s="173"/>
      <c r="AE935" s="173"/>
      <c r="AF935" s="173"/>
      <c r="AG935" s="173"/>
      <c r="AH935" s="173"/>
      <c r="AI935" s="173"/>
      <c r="AJ935" s="173"/>
      <c r="AK935" s="173"/>
      <c r="AL935" s="173"/>
      <c r="AM935" s="173"/>
      <c r="AN935" s="173"/>
      <c r="AO935" s="173"/>
      <c r="AP935" s="173"/>
      <c r="AQ935" s="173"/>
      <c r="AR935" s="173"/>
      <c r="AS935" s="173"/>
      <c r="AT935" s="173"/>
      <c r="AU935" s="173"/>
      <c r="AV935" s="173"/>
      <c r="AW935" s="173"/>
      <c r="AX935" s="173"/>
      <c r="AY935" s="173"/>
      <c r="AZ935" s="173"/>
      <c r="BA935" s="173"/>
      <c r="BB935" s="173"/>
      <c r="BC935" s="173"/>
      <c r="BD935" s="173"/>
      <c r="BE935" s="173"/>
      <c r="BF935" s="173"/>
      <c r="BG935" s="173"/>
      <c r="BH935" s="173"/>
      <c r="BI935" s="173"/>
      <c r="BJ935" s="173"/>
      <c r="BK935" s="173"/>
      <c r="BL935" s="173"/>
      <c r="BM935" s="173"/>
    </row>
    <row r="936" spans="1:65">
      <c r="A936" s="173"/>
      <c r="B936" s="173"/>
      <c r="C936" s="173"/>
      <c r="D936" s="173"/>
      <c r="E936" s="173"/>
      <c r="F936" s="173"/>
      <c r="G936" s="173"/>
      <c r="H936" s="173"/>
      <c r="I936" s="173"/>
      <c r="J936" s="173"/>
      <c r="K936" s="322"/>
      <c r="L936" s="173"/>
      <c r="M936" s="173"/>
      <c r="Q936" s="173"/>
      <c r="R936" s="173"/>
      <c r="S936" s="173"/>
      <c r="T936" s="173"/>
      <c r="U936" s="173"/>
      <c r="V936" s="173"/>
      <c r="W936" s="173"/>
      <c r="X936" s="173"/>
      <c r="Y936" s="173"/>
      <c r="Z936" s="173"/>
      <c r="AA936" s="173"/>
      <c r="AB936" s="173"/>
      <c r="AC936" s="173"/>
      <c r="AD936" s="173"/>
      <c r="AE936" s="173"/>
      <c r="AF936" s="173"/>
      <c r="AG936" s="173"/>
      <c r="AH936" s="173"/>
      <c r="AI936" s="173"/>
      <c r="AJ936" s="173"/>
      <c r="AK936" s="173"/>
      <c r="AL936" s="173"/>
      <c r="AM936" s="173"/>
      <c r="AN936" s="173"/>
      <c r="AO936" s="173"/>
      <c r="AP936" s="173"/>
      <c r="AQ936" s="173"/>
      <c r="AR936" s="173"/>
      <c r="AS936" s="173"/>
      <c r="AT936" s="173"/>
      <c r="AU936" s="173"/>
      <c r="AV936" s="173"/>
      <c r="AW936" s="173"/>
      <c r="AX936" s="173"/>
      <c r="AY936" s="173"/>
      <c r="AZ936" s="173"/>
      <c r="BA936" s="173"/>
      <c r="BB936" s="173"/>
      <c r="BC936" s="173"/>
      <c r="BD936" s="173"/>
      <c r="BE936" s="173"/>
      <c r="BF936" s="173"/>
      <c r="BG936" s="173"/>
      <c r="BH936" s="173"/>
      <c r="BI936" s="173"/>
      <c r="BJ936" s="173"/>
      <c r="BK936" s="173"/>
      <c r="BL936" s="173"/>
      <c r="BM936" s="173"/>
    </row>
    <row r="937" spans="1:65">
      <c r="A937" s="173"/>
      <c r="B937" s="173"/>
      <c r="C937" s="173"/>
      <c r="D937" s="173"/>
      <c r="E937" s="173"/>
      <c r="F937" s="173"/>
      <c r="G937" s="173"/>
      <c r="H937" s="173"/>
      <c r="I937" s="173"/>
      <c r="J937" s="173"/>
      <c r="K937" s="322"/>
      <c r="L937" s="173"/>
      <c r="M937" s="173"/>
      <c r="Q937" s="173"/>
      <c r="R937" s="173"/>
      <c r="S937" s="173"/>
      <c r="T937" s="173"/>
      <c r="U937" s="173"/>
      <c r="V937" s="173"/>
      <c r="W937" s="173"/>
      <c r="X937" s="173"/>
      <c r="Y937" s="173"/>
      <c r="Z937" s="173"/>
      <c r="AA937" s="173"/>
      <c r="AB937" s="173"/>
      <c r="AC937" s="173"/>
      <c r="AD937" s="173"/>
      <c r="AE937" s="173"/>
      <c r="AF937" s="173"/>
      <c r="AG937" s="173"/>
      <c r="AH937" s="173"/>
      <c r="AI937" s="173"/>
      <c r="AJ937" s="173"/>
      <c r="AK937" s="173"/>
      <c r="AL937" s="173"/>
      <c r="AM937" s="173"/>
      <c r="AN937" s="173"/>
      <c r="AO937" s="173"/>
      <c r="AP937" s="173"/>
      <c r="AQ937" s="173"/>
      <c r="AR937" s="173"/>
      <c r="AS937" s="173"/>
      <c r="AT937" s="173"/>
      <c r="AU937" s="173"/>
      <c r="AV937" s="173"/>
      <c r="AW937" s="173"/>
      <c r="AX937" s="173"/>
      <c r="AY937" s="173"/>
      <c r="AZ937" s="173"/>
      <c r="BA937" s="173"/>
      <c r="BB937" s="173"/>
      <c r="BC937" s="173"/>
      <c r="BD937" s="173"/>
      <c r="BE937" s="173"/>
      <c r="BF937" s="173"/>
      <c r="BG937" s="173"/>
      <c r="BH937" s="173"/>
      <c r="BI937" s="173"/>
      <c r="BJ937" s="173"/>
      <c r="BK937" s="173"/>
      <c r="BL937" s="173"/>
      <c r="BM937" s="173"/>
    </row>
    <row r="938" spans="1:65">
      <c r="A938" s="173"/>
      <c r="B938" s="173"/>
      <c r="C938" s="173"/>
      <c r="D938" s="173"/>
      <c r="E938" s="173"/>
      <c r="F938" s="173"/>
      <c r="G938" s="173"/>
      <c r="H938" s="173"/>
      <c r="I938" s="173"/>
      <c r="J938" s="173"/>
      <c r="K938" s="322"/>
      <c r="L938" s="173"/>
      <c r="M938" s="173"/>
      <c r="Q938" s="173"/>
      <c r="R938" s="173"/>
      <c r="S938" s="173"/>
      <c r="T938" s="173"/>
      <c r="U938" s="173"/>
      <c r="V938" s="173"/>
      <c r="W938" s="173"/>
      <c r="X938" s="173"/>
      <c r="Y938" s="173"/>
      <c r="Z938" s="173"/>
      <c r="AA938" s="173"/>
      <c r="AB938" s="173"/>
      <c r="AC938" s="173"/>
      <c r="AD938" s="173"/>
      <c r="AE938" s="173"/>
      <c r="AF938" s="173"/>
      <c r="AG938" s="173"/>
      <c r="AH938" s="173"/>
      <c r="AI938" s="173"/>
      <c r="AJ938" s="173"/>
      <c r="AK938" s="173"/>
      <c r="AL938" s="173"/>
      <c r="AM938" s="173"/>
      <c r="AN938" s="173"/>
      <c r="AO938" s="173"/>
      <c r="AP938" s="173"/>
      <c r="AQ938" s="173"/>
      <c r="AR938" s="173"/>
      <c r="AS938" s="173"/>
      <c r="AT938" s="173"/>
      <c r="AU938" s="173"/>
      <c r="AV938" s="173"/>
      <c r="AW938" s="173"/>
      <c r="AX938" s="173"/>
      <c r="AY938" s="173"/>
      <c r="AZ938" s="173"/>
      <c r="BA938" s="173"/>
      <c r="BB938" s="173"/>
      <c r="BC938" s="173"/>
      <c r="BD938" s="173"/>
      <c r="BE938" s="173"/>
      <c r="BF938" s="173"/>
      <c r="BG938" s="173"/>
      <c r="BH938" s="173"/>
      <c r="BI938" s="173"/>
      <c r="BJ938" s="173"/>
      <c r="BK938" s="173"/>
      <c r="BL938" s="173"/>
      <c r="BM938" s="173"/>
    </row>
    <row r="939" spans="1:65">
      <c r="A939" s="173"/>
      <c r="B939" s="173"/>
      <c r="C939" s="173"/>
      <c r="D939" s="173"/>
      <c r="E939" s="173"/>
      <c r="F939" s="173"/>
      <c r="G939" s="173"/>
      <c r="H939" s="173"/>
      <c r="I939" s="173"/>
      <c r="J939" s="173"/>
      <c r="K939" s="322"/>
      <c r="L939" s="173"/>
      <c r="M939" s="173"/>
      <c r="Q939" s="173"/>
      <c r="R939" s="173"/>
      <c r="S939" s="173"/>
      <c r="T939" s="173"/>
      <c r="U939" s="173"/>
      <c r="V939" s="173"/>
      <c r="W939" s="173"/>
      <c r="X939" s="173"/>
      <c r="Y939" s="173"/>
      <c r="Z939" s="173"/>
      <c r="AA939" s="173"/>
      <c r="AB939" s="173"/>
      <c r="AC939" s="173"/>
      <c r="AD939" s="173"/>
      <c r="AE939" s="173"/>
      <c r="AF939" s="173"/>
      <c r="AG939" s="173"/>
      <c r="AH939" s="173"/>
      <c r="AI939" s="173"/>
      <c r="AJ939" s="173"/>
      <c r="AK939" s="173"/>
      <c r="AL939" s="173"/>
      <c r="AM939" s="173"/>
      <c r="AN939" s="173"/>
      <c r="AO939" s="173"/>
      <c r="AP939" s="173"/>
      <c r="AQ939" s="173"/>
      <c r="AR939" s="173"/>
      <c r="AS939" s="173"/>
      <c r="AT939" s="173"/>
      <c r="AU939" s="173"/>
      <c r="AV939" s="173"/>
      <c r="AW939" s="173"/>
      <c r="AX939" s="173"/>
      <c r="AY939" s="173"/>
      <c r="AZ939" s="173"/>
      <c r="BA939" s="173"/>
      <c r="BB939" s="173"/>
      <c r="BC939" s="173"/>
      <c r="BD939" s="173"/>
      <c r="BE939" s="173"/>
      <c r="BF939" s="173"/>
      <c r="BG939" s="173"/>
      <c r="BH939" s="173"/>
      <c r="BI939" s="173"/>
      <c r="BJ939" s="173"/>
      <c r="BK939" s="173"/>
      <c r="BL939" s="173"/>
      <c r="BM939" s="173"/>
    </row>
    <row r="940" spans="1:65">
      <c r="A940" s="173"/>
      <c r="B940" s="173"/>
      <c r="C940" s="173"/>
      <c r="D940" s="173"/>
      <c r="E940" s="173"/>
      <c r="F940" s="173"/>
      <c r="G940" s="173"/>
      <c r="H940" s="173"/>
      <c r="I940" s="173"/>
      <c r="J940" s="173"/>
      <c r="K940" s="322"/>
      <c r="L940" s="173"/>
      <c r="M940" s="173"/>
      <c r="Q940" s="173"/>
      <c r="R940" s="173"/>
      <c r="S940" s="173"/>
      <c r="T940" s="173"/>
      <c r="U940" s="173"/>
      <c r="V940" s="173"/>
      <c r="W940" s="173"/>
      <c r="X940" s="173"/>
      <c r="Y940" s="173"/>
      <c r="Z940" s="173"/>
      <c r="AA940" s="173"/>
      <c r="AB940" s="173"/>
      <c r="AC940" s="173"/>
      <c r="AD940" s="173"/>
      <c r="AE940" s="173"/>
      <c r="AF940" s="173"/>
      <c r="AG940" s="173"/>
      <c r="AH940" s="173"/>
      <c r="AI940" s="173"/>
      <c r="AJ940" s="173"/>
      <c r="AK940" s="173"/>
      <c r="AL940" s="173"/>
      <c r="AM940" s="173"/>
      <c r="AN940" s="173"/>
      <c r="AO940" s="173"/>
      <c r="AP940" s="173"/>
      <c r="AQ940" s="173"/>
      <c r="AR940" s="173"/>
      <c r="AS940" s="173"/>
      <c r="AT940" s="173"/>
      <c r="AU940" s="173"/>
      <c r="AV940" s="173"/>
      <c r="AW940" s="173"/>
      <c r="AX940" s="173"/>
      <c r="AY940" s="173"/>
      <c r="AZ940" s="173"/>
      <c r="BA940" s="173"/>
      <c r="BB940" s="173"/>
      <c r="BC940" s="173"/>
      <c r="BD940" s="173"/>
      <c r="BE940" s="173"/>
      <c r="BF940" s="173"/>
      <c r="BG940" s="173"/>
      <c r="BH940" s="173"/>
      <c r="BI940" s="173"/>
      <c r="BJ940" s="173"/>
      <c r="BK940" s="173"/>
      <c r="BL940" s="173"/>
      <c r="BM940" s="173"/>
    </row>
    <row r="941" spans="1:65">
      <c r="A941" s="173"/>
      <c r="B941" s="173"/>
      <c r="C941" s="173"/>
      <c r="D941" s="173"/>
      <c r="E941" s="173"/>
      <c r="F941" s="173"/>
      <c r="G941" s="173"/>
      <c r="H941" s="173"/>
      <c r="I941" s="173"/>
      <c r="J941" s="173"/>
      <c r="K941" s="322"/>
      <c r="L941" s="173"/>
      <c r="M941" s="173"/>
      <c r="Q941" s="173"/>
      <c r="R941" s="173"/>
      <c r="S941" s="173"/>
      <c r="T941" s="173"/>
      <c r="U941" s="173"/>
      <c r="V941" s="173"/>
      <c r="W941" s="173"/>
      <c r="X941" s="173"/>
      <c r="Y941" s="173"/>
      <c r="Z941" s="173"/>
      <c r="AA941" s="173"/>
      <c r="AB941" s="173"/>
      <c r="AC941" s="173"/>
      <c r="AD941" s="173"/>
      <c r="AE941" s="173"/>
      <c r="AF941" s="173"/>
      <c r="AG941" s="173"/>
      <c r="AH941" s="173"/>
      <c r="AI941" s="173"/>
      <c r="AJ941" s="173"/>
      <c r="AK941" s="173"/>
      <c r="AL941" s="173"/>
      <c r="AM941" s="173"/>
      <c r="AN941" s="173"/>
      <c r="AO941" s="173"/>
      <c r="AP941" s="173"/>
      <c r="AQ941" s="173"/>
      <c r="AR941" s="173"/>
      <c r="AS941" s="173"/>
      <c r="AT941" s="173"/>
      <c r="AU941" s="173"/>
      <c r="AV941" s="173"/>
      <c r="AW941" s="173"/>
      <c r="AX941" s="173"/>
      <c r="AY941" s="173"/>
      <c r="AZ941" s="173"/>
      <c r="BA941" s="173"/>
      <c r="BB941" s="173"/>
      <c r="BC941" s="173"/>
      <c r="BD941" s="173"/>
      <c r="BE941" s="173"/>
      <c r="BF941" s="173"/>
      <c r="BG941" s="173"/>
      <c r="BH941" s="173"/>
      <c r="BI941" s="173"/>
      <c r="BJ941" s="173"/>
      <c r="BK941" s="173"/>
      <c r="BL941" s="173"/>
      <c r="BM941" s="173"/>
    </row>
    <row r="942" spans="1:65">
      <c r="A942" s="173"/>
      <c r="B942" s="173"/>
      <c r="C942" s="173"/>
      <c r="D942" s="173"/>
      <c r="E942" s="173"/>
      <c r="F942" s="173"/>
      <c r="G942" s="173"/>
      <c r="H942" s="173"/>
      <c r="I942" s="173"/>
      <c r="J942" s="173"/>
      <c r="K942" s="322"/>
      <c r="L942" s="173"/>
      <c r="M942" s="173"/>
      <c r="Q942" s="173"/>
      <c r="R942" s="173"/>
      <c r="S942" s="173"/>
      <c r="T942" s="173"/>
      <c r="U942" s="173"/>
      <c r="V942" s="173"/>
      <c r="W942" s="173"/>
      <c r="X942" s="173"/>
      <c r="Y942" s="173"/>
      <c r="Z942" s="173"/>
      <c r="AA942" s="173"/>
      <c r="AB942" s="173"/>
      <c r="AC942" s="173"/>
      <c r="AD942" s="173"/>
      <c r="AE942" s="173"/>
      <c r="AF942" s="173"/>
      <c r="AG942" s="173"/>
      <c r="AH942" s="173"/>
      <c r="AI942" s="173"/>
      <c r="AJ942" s="173"/>
      <c r="AK942" s="173"/>
      <c r="AL942" s="173"/>
      <c r="AM942" s="173"/>
      <c r="AN942" s="173"/>
      <c r="AO942" s="173"/>
      <c r="AP942" s="173"/>
      <c r="AQ942" s="173"/>
      <c r="AR942" s="173"/>
      <c r="AS942" s="173"/>
      <c r="AT942" s="173"/>
      <c r="AU942" s="173"/>
      <c r="AV942" s="173"/>
      <c r="AW942" s="173"/>
      <c r="AX942" s="173"/>
      <c r="AY942" s="173"/>
      <c r="AZ942" s="173"/>
      <c r="BA942" s="173"/>
      <c r="BB942" s="173"/>
      <c r="BC942" s="173"/>
      <c r="BD942" s="173"/>
      <c r="BE942" s="173"/>
      <c r="BF942" s="173"/>
      <c r="BG942" s="173"/>
      <c r="BH942" s="173"/>
      <c r="BI942" s="173"/>
      <c r="BJ942" s="173"/>
      <c r="BK942" s="173"/>
      <c r="BL942" s="173"/>
      <c r="BM942" s="173"/>
    </row>
    <row r="943" spans="1:65">
      <c r="A943" s="173"/>
      <c r="B943" s="173"/>
      <c r="C943" s="173"/>
      <c r="D943" s="173"/>
      <c r="E943" s="173"/>
      <c r="F943" s="173"/>
      <c r="G943" s="173"/>
      <c r="H943" s="173"/>
      <c r="I943" s="173"/>
      <c r="J943" s="173"/>
      <c r="K943" s="322"/>
      <c r="L943" s="173"/>
      <c r="M943" s="173"/>
      <c r="Q943" s="173"/>
      <c r="R943" s="173"/>
      <c r="S943" s="173"/>
      <c r="T943" s="173"/>
      <c r="U943" s="173"/>
      <c r="V943" s="173"/>
      <c r="W943" s="173"/>
      <c r="X943" s="173"/>
      <c r="Y943" s="173"/>
      <c r="Z943" s="173"/>
      <c r="AA943" s="173"/>
      <c r="AB943" s="173"/>
      <c r="AC943" s="173"/>
      <c r="AD943" s="173"/>
      <c r="AE943" s="173"/>
      <c r="AF943" s="173"/>
      <c r="AG943" s="173"/>
      <c r="AH943" s="173"/>
      <c r="AI943" s="173"/>
      <c r="AJ943" s="173"/>
      <c r="AK943" s="173"/>
      <c r="AL943" s="173"/>
      <c r="AM943" s="173"/>
      <c r="AN943" s="173"/>
      <c r="AO943" s="173"/>
      <c r="AP943" s="173"/>
      <c r="AQ943" s="173"/>
      <c r="AR943" s="173"/>
      <c r="AS943" s="173"/>
      <c r="AT943" s="173"/>
      <c r="AU943" s="173"/>
      <c r="AV943" s="173"/>
      <c r="AW943" s="173"/>
      <c r="AX943" s="173"/>
      <c r="AY943" s="173"/>
      <c r="AZ943" s="173"/>
      <c r="BA943" s="173"/>
      <c r="BB943" s="173"/>
      <c r="BC943" s="173"/>
      <c r="BD943" s="173"/>
      <c r="BE943" s="173"/>
      <c r="BF943" s="173"/>
      <c r="BG943" s="173"/>
      <c r="BH943" s="173"/>
      <c r="BI943" s="173"/>
      <c r="BJ943" s="173"/>
      <c r="BK943" s="173"/>
      <c r="BL943" s="173"/>
      <c r="BM943" s="173"/>
    </row>
    <row r="944" spans="1:65">
      <c r="A944" s="173"/>
      <c r="B944" s="173"/>
      <c r="C944" s="173"/>
      <c r="D944" s="173"/>
      <c r="E944" s="173"/>
      <c r="F944" s="173"/>
      <c r="G944" s="173"/>
      <c r="H944" s="173"/>
      <c r="I944" s="173"/>
      <c r="J944" s="173"/>
      <c r="K944" s="322"/>
      <c r="L944" s="173"/>
      <c r="M944" s="173"/>
      <c r="Q944" s="173"/>
      <c r="R944" s="173"/>
      <c r="S944" s="173"/>
      <c r="T944" s="173"/>
      <c r="U944" s="173"/>
      <c r="V944" s="173"/>
      <c r="W944" s="173"/>
      <c r="X944" s="173"/>
      <c r="Y944" s="173"/>
      <c r="Z944" s="173"/>
      <c r="AA944" s="173"/>
      <c r="AB944" s="173"/>
      <c r="AC944" s="173"/>
      <c r="AD944" s="173"/>
      <c r="AE944" s="173"/>
      <c r="AF944" s="173"/>
      <c r="AG944" s="173"/>
      <c r="AH944" s="173"/>
      <c r="AI944" s="173"/>
      <c r="AJ944" s="173"/>
      <c r="AK944" s="173"/>
      <c r="AL944" s="173"/>
      <c r="AM944" s="173"/>
      <c r="AN944" s="173"/>
      <c r="AO944" s="173"/>
      <c r="AP944" s="173"/>
      <c r="AQ944" s="173"/>
      <c r="AR944" s="173"/>
      <c r="AS944" s="173"/>
      <c r="AT944" s="173"/>
      <c r="AU944" s="173"/>
      <c r="AV944" s="173"/>
      <c r="AW944" s="173"/>
      <c r="AX944" s="173"/>
      <c r="AY944" s="173"/>
      <c r="AZ944" s="173"/>
      <c r="BA944" s="173"/>
      <c r="BB944" s="173"/>
      <c r="BC944" s="173"/>
      <c r="BD944" s="173"/>
      <c r="BE944" s="173"/>
      <c r="BF944" s="173"/>
      <c r="BG944" s="173"/>
      <c r="BH944" s="173"/>
      <c r="BI944" s="173"/>
      <c r="BJ944" s="173"/>
      <c r="BK944" s="173"/>
      <c r="BL944" s="173"/>
      <c r="BM944" s="173"/>
    </row>
    <row r="945" spans="1:65">
      <c r="A945" s="173"/>
      <c r="B945" s="173"/>
      <c r="C945" s="173"/>
      <c r="D945" s="173"/>
      <c r="E945" s="173"/>
      <c r="F945" s="173"/>
      <c r="G945" s="173"/>
      <c r="H945" s="173"/>
      <c r="I945" s="173"/>
      <c r="J945" s="173"/>
      <c r="K945" s="322"/>
      <c r="L945" s="173"/>
      <c r="M945" s="173"/>
      <c r="Q945" s="173"/>
      <c r="R945" s="173"/>
      <c r="S945" s="173"/>
      <c r="T945" s="173"/>
      <c r="U945" s="173"/>
      <c r="V945" s="173"/>
      <c r="W945" s="173"/>
      <c r="X945" s="173"/>
      <c r="Y945" s="173"/>
      <c r="Z945" s="173"/>
      <c r="AA945" s="173"/>
      <c r="AB945" s="173"/>
      <c r="AC945" s="173"/>
      <c r="AD945" s="173"/>
      <c r="AE945" s="173"/>
      <c r="AF945" s="173"/>
      <c r="AG945" s="173"/>
      <c r="AH945" s="173"/>
      <c r="AI945" s="173"/>
      <c r="AJ945" s="173"/>
      <c r="AK945" s="173"/>
      <c r="AL945" s="173"/>
      <c r="AM945" s="173"/>
      <c r="AN945" s="173"/>
      <c r="AO945" s="173"/>
      <c r="AP945" s="173"/>
      <c r="AQ945" s="173"/>
      <c r="AR945" s="173"/>
      <c r="AS945" s="173"/>
      <c r="AT945" s="173"/>
      <c r="AU945" s="173"/>
      <c r="AV945" s="173"/>
      <c r="AW945" s="173"/>
      <c r="AX945" s="173"/>
      <c r="AY945" s="173"/>
      <c r="AZ945" s="173"/>
      <c r="BA945" s="173"/>
      <c r="BB945" s="173"/>
      <c r="BC945" s="173"/>
      <c r="BD945" s="173"/>
      <c r="BE945" s="173"/>
      <c r="BF945" s="173"/>
      <c r="BG945" s="173"/>
      <c r="BH945" s="173"/>
      <c r="BI945" s="173"/>
      <c r="BJ945" s="173"/>
      <c r="BK945" s="173"/>
      <c r="BL945" s="173"/>
      <c r="BM945" s="173"/>
    </row>
    <row r="946" spans="1:65">
      <c r="A946" s="173"/>
      <c r="B946" s="173"/>
      <c r="C946" s="173"/>
      <c r="D946" s="173"/>
      <c r="E946" s="173"/>
      <c r="F946" s="173"/>
      <c r="G946" s="173"/>
      <c r="H946" s="173"/>
      <c r="I946" s="173"/>
      <c r="J946" s="173"/>
      <c r="K946" s="322"/>
      <c r="L946" s="173"/>
      <c r="M946" s="173"/>
      <c r="Q946" s="173"/>
      <c r="R946" s="173"/>
      <c r="S946" s="173"/>
      <c r="T946" s="173"/>
      <c r="U946" s="173"/>
      <c r="V946" s="173"/>
      <c r="W946" s="173"/>
      <c r="X946" s="173"/>
      <c r="Y946" s="173"/>
      <c r="Z946" s="173"/>
      <c r="AA946" s="173"/>
      <c r="AB946" s="173"/>
      <c r="AC946" s="173"/>
      <c r="AD946" s="173"/>
      <c r="AE946" s="173"/>
      <c r="AF946" s="173"/>
      <c r="AG946" s="173"/>
      <c r="AH946" s="173"/>
      <c r="AI946" s="173"/>
      <c r="AJ946" s="173"/>
      <c r="AK946" s="173"/>
      <c r="AL946" s="173"/>
      <c r="AM946" s="173"/>
      <c r="AN946" s="173"/>
      <c r="AO946" s="173"/>
      <c r="AP946" s="173"/>
      <c r="AQ946" s="173"/>
      <c r="AR946" s="173"/>
      <c r="AS946" s="173"/>
      <c r="AT946" s="173"/>
      <c r="AU946" s="173"/>
      <c r="AV946" s="173"/>
      <c r="AW946" s="173"/>
      <c r="AX946" s="173"/>
      <c r="AY946" s="173"/>
      <c r="AZ946" s="173"/>
      <c r="BA946" s="173"/>
      <c r="BB946" s="173"/>
      <c r="BC946" s="173"/>
      <c r="BD946" s="173"/>
      <c r="BE946" s="173"/>
      <c r="BF946" s="173"/>
      <c r="BG946" s="173"/>
      <c r="BH946" s="173"/>
      <c r="BI946" s="173"/>
      <c r="BJ946" s="173"/>
      <c r="BK946" s="173"/>
      <c r="BL946" s="173"/>
      <c r="BM946" s="173"/>
    </row>
    <row r="947" spans="1:65">
      <c r="A947" s="173"/>
      <c r="B947" s="173"/>
      <c r="C947" s="173"/>
      <c r="D947" s="173"/>
      <c r="E947" s="173"/>
      <c r="F947" s="173"/>
      <c r="G947" s="173"/>
      <c r="H947" s="173"/>
      <c r="I947" s="173"/>
      <c r="J947" s="173"/>
      <c r="K947" s="322"/>
      <c r="L947" s="173"/>
      <c r="M947" s="173"/>
      <c r="Q947" s="173"/>
      <c r="R947" s="173"/>
      <c r="S947" s="173"/>
      <c r="T947" s="173"/>
      <c r="U947" s="173"/>
      <c r="V947" s="173"/>
      <c r="W947" s="173"/>
      <c r="X947" s="173"/>
      <c r="Y947" s="173"/>
      <c r="Z947" s="173"/>
      <c r="AA947" s="173"/>
      <c r="AB947" s="173"/>
      <c r="AC947" s="173"/>
      <c r="AD947" s="173"/>
      <c r="AE947" s="173"/>
      <c r="AF947" s="173"/>
      <c r="AG947" s="173"/>
      <c r="AH947" s="173"/>
      <c r="AI947" s="173"/>
      <c r="AJ947" s="173"/>
      <c r="AK947" s="173"/>
      <c r="AL947" s="173"/>
      <c r="AM947" s="173"/>
      <c r="AN947" s="173"/>
      <c r="AO947" s="173"/>
      <c r="AP947" s="173"/>
      <c r="AQ947" s="173"/>
      <c r="AR947" s="173"/>
      <c r="AS947" s="173"/>
      <c r="AT947" s="173"/>
      <c r="AU947" s="173"/>
      <c r="AV947" s="173"/>
      <c r="AW947" s="173"/>
      <c r="AX947" s="173"/>
      <c r="AY947" s="173"/>
      <c r="AZ947" s="173"/>
      <c r="BA947" s="173"/>
      <c r="BB947" s="173"/>
      <c r="BC947" s="173"/>
      <c r="BD947" s="173"/>
      <c r="BE947" s="173"/>
      <c r="BF947" s="173"/>
      <c r="BG947" s="173"/>
      <c r="BH947" s="173"/>
      <c r="BI947" s="173"/>
      <c r="BJ947" s="173"/>
      <c r="BK947" s="173"/>
      <c r="BL947" s="173"/>
      <c r="BM947" s="173"/>
    </row>
  </sheetData>
  <sheetProtection algorithmName="SHA-512" hashValue="fDB33nq4GS3rNiZaWD8L7er92M+53IU5NaA55sJertOBBKMbgWXBo9e5zFYkHfHnrL2s3xOQBkziJ4QKS10c/g==" saltValue="B7/LszfG/As0OHYLeJ2EOQ==" spinCount="100000" sheet="1" selectLockedCells="1"/>
  <mergeCells count="21">
    <mergeCell ref="H2:I2"/>
    <mergeCell ref="H3:I3"/>
    <mergeCell ref="H4:I4"/>
    <mergeCell ref="A51:B51"/>
    <mergeCell ref="D12:D13"/>
    <mergeCell ref="F51:G51"/>
    <mergeCell ref="F53:G53"/>
    <mergeCell ref="F58:G58"/>
    <mergeCell ref="A59:B59"/>
    <mergeCell ref="A65:B65"/>
    <mergeCell ref="A60:B60"/>
    <mergeCell ref="A61:B61"/>
    <mergeCell ref="A57:B57"/>
    <mergeCell ref="A58:B58"/>
    <mergeCell ref="F59:G59"/>
    <mergeCell ref="A70:E70"/>
    <mergeCell ref="A52:B52"/>
    <mergeCell ref="A53:B53"/>
    <mergeCell ref="A54:B54"/>
    <mergeCell ref="A55:B55"/>
    <mergeCell ref="A56:B56"/>
  </mergeCells>
  <dataValidations count="3">
    <dataValidation type="whole" allowBlank="1" showInputMessage="1" showErrorMessage="1" sqref="L37 I42:K42">
      <formula1>0</formula1>
      <formula2>0</formula2>
    </dataValidation>
    <dataValidation errorStyle="warning" allowBlank="1" showInputMessage="1" showErrorMessage="1" errorTitle="Excessive heat loss, Warning" error="Excessive heat loss, Warning, heat loss of over 100W a metre usually indicates an error in your  calculation." sqref="I51:J51"/>
    <dataValidation type="list" allowBlank="1" showInputMessage="1" showErrorMessage="1" sqref="E8">
      <formula1>$A$90:$A$114</formula1>
    </dataValidation>
  </dataValidations>
  <pageMargins left="0.7" right="0.7" top="0.75" bottom="0.75" header="0.3" footer="0.3"/>
  <pageSetup paperSize="9" scale="42" fitToHeight="0" orientation="portrait" horizontalDpi="4294967293" verticalDpi="4294967293"/>
  <headerFooter>
    <oddHeader>&amp;Linsert your details here&amp;Cinsert your logo here</oddHeader>
    <oddFooter>&amp;CCopyright Hendra Freedom Heat pumps
www.samsungehs.co.uk www.freedomhp.co.uk
02380274833</oddFooter>
  </headerFooter>
  <drawing r:id="rId1"/>
  <legacy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sheetPr enableFormatConditionsCalculation="0">
    <tabColor rgb="FFFFC000"/>
  </sheetPr>
  <dimension ref="A1:AD139"/>
  <sheetViews>
    <sheetView zoomScaleSheetLayoutView="100" workbookViewId="0">
      <selection activeCell="AA49" sqref="AA49"/>
    </sheetView>
  </sheetViews>
  <sheetFormatPr defaultColWidth="9.140625" defaultRowHeight="14.25"/>
  <cols>
    <col min="1" max="1" width="33.7109375" style="31" customWidth="1"/>
    <col min="2" max="2" width="20.140625" style="31" customWidth="1"/>
    <col min="3" max="3" width="25.28515625" style="31" customWidth="1"/>
    <col min="4" max="4" width="21.28515625" style="31" customWidth="1"/>
    <col min="5" max="5" width="9" style="31" customWidth="1"/>
    <col min="6" max="6" width="16.28515625" style="31" customWidth="1"/>
    <col min="7" max="7" width="16.42578125" style="31" customWidth="1"/>
    <col min="8" max="8" width="21.7109375" style="31" customWidth="1"/>
    <col min="9" max="9" width="17.85546875" style="31" customWidth="1"/>
    <col min="10" max="10" width="8.42578125" style="31" customWidth="1"/>
    <col min="11" max="11" width="11.42578125" style="31" hidden="1" customWidth="1"/>
    <col min="12" max="12" width="19.7109375" style="31" hidden="1" customWidth="1"/>
    <col min="13" max="13" width="15.28515625" style="31" hidden="1" customWidth="1"/>
    <col min="14" max="14" width="12.42578125" style="31" hidden="1" customWidth="1"/>
    <col min="15" max="15" width="18.42578125" style="31" hidden="1" customWidth="1"/>
    <col min="16" max="16" width="17.28515625" style="31" hidden="1" customWidth="1"/>
    <col min="17" max="17" width="13.42578125" style="31" hidden="1" customWidth="1"/>
    <col min="18" max="18" width="14.7109375" style="31" hidden="1" customWidth="1"/>
    <col min="19" max="19" width="9.28515625" style="31" hidden="1" customWidth="1"/>
    <col min="20" max="20" width="11.140625" style="31" hidden="1" customWidth="1"/>
    <col min="21" max="21" width="10.140625" style="31" hidden="1" customWidth="1"/>
    <col min="22" max="22" width="9.140625" style="31" hidden="1" customWidth="1"/>
    <col min="23" max="23" width="11.140625" style="31" hidden="1" customWidth="1"/>
    <col min="24" max="26" width="9.140625" style="31" hidden="1" customWidth="1"/>
    <col min="27" max="30" width="9.140625" style="31" customWidth="1"/>
    <col min="31" max="16384" width="9.140625" style="31"/>
  </cols>
  <sheetData>
    <row r="1" spans="1:16" ht="25.5">
      <c r="A1" s="268" t="s">
        <v>25</v>
      </c>
      <c r="B1" s="340" t="s">
        <v>895</v>
      </c>
      <c r="C1" s="339"/>
      <c r="D1" s="465" t="s">
        <v>122</v>
      </c>
      <c r="E1" s="339"/>
      <c r="F1" s="465" t="s">
        <v>959</v>
      </c>
      <c r="G1" s="465" t="s">
        <v>960</v>
      </c>
      <c r="H1" s="333"/>
      <c r="I1" s="333"/>
      <c r="J1" s="447"/>
      <c r="K1" s="34"/>
      <c r="L1" s="31" t="s">
        <v>888</v>
      </c>
      <c r="M1" s="214" t="str">
        <f>equipment!E8</f>
        <v>Samsung 9kW mono</v>
      </c>
    </row>
    <row r="2" spans="1:16" ht="15.75" customHeight="1">
      <c r="A2" s="335" t="s">
        <v>133</v>
      </c>
      <c r="B2" s="355" t="str">
        <f>'Data Entry Sheet'!D28</f>
        <v>Birmingham</v>
      </c>
      <c r="C2" s="333"/>
      <c r="D2" s="333"/>
      <c r="E2" s="333"/>
      <c r="F2" s="333"/>
      <c r="G2" s="333"/>
      <c r="H2" s="333"/>
      <c r="I2" s="333"/>
      <c r="J2" s="447"/>
      <c r="K2" s="34"/>
      <c r="L2" s="31" t="s">
        <v>889</v>
      </c>
      <c r="M2" s="556">
        <f>'Data Entry Sheet'!I28</f>
        <v>50</v>
      </c>
    </row>
    <row r="3" spans="1:16" ht="15.75" hidden="1" thickBot="1">
      <c r="A3" s="336"/>
      <c r="B3" s="166"/>
      <c r="C3" s="337"/>
      <c r="D3" s="166"/>
      <c r="E3" s="337"/>
      <c r="F3" s="166" t="s">
        <v>136</v>
      </c>
      <c r="G3" s="337"/>
      <c r="H3" s="337"/>
      <c r="I3" s="337"/>
      <c r="J3" s="449"/>
      <c r="K3" s="168"/>
      <c r="L3" s="31" t="s">
        <v>890</v>
      </c>
      <c r="M3" s="31">
        <f>(VLOOKUP($M$1,$A$99:$N$128,5,FALSE))</f>
        <v>0</v>
      </c>
    </row>
    <row r="4" spans="1:16" ht="15.75" hidden="1" customHeight="1" thickBot="1">
      <c r="A4" s="336" t="s">
        <v>134</v>
      </c>
      <c r="B4" s="165">
        <f>'MCS calc and run costs '!E4/(21-'Data Entry Sheet'!D32)</f>
        <v>0.25851999198086123</v>
      </c>
      <c r="C4" s="337"/>
      <c r="D4" s="166" t="s">
        <v>547</v>
      </c>
      <c r="E4" s="342">
        <f>equipment!E14</f>
        <v>6.4629997995215307</v>
      </c>
      <c r="F4" s="166" t="s">
        <v>135</v>
      </c>
      <c r="G4" s="337"/>
      <c r="H4" s="337"/>
      <c r="I4" s="337"/>
      <c r="J4" s="449"/>
      <c r="K4" s="168"/>
      <c r="L4" s="31" t="s">
        <v>891</v>
      </c>
      <c r="M4" s="31">
        <f>(VLOOKUP($M$1,$A$99:$N$128,6,FALSE))</f>
        <v>0</v>
      </c>
    </row>
    <row r="5" spans="1:16" ht="15.75" hidden="1" customHeight="1" thickBot="1">
      <c r="A5" s="337"/>
      <c r="B5" s="166"/>
      <c r="C5" s="337"/>
      <c r="D5" s="166"/>
      <c r="E5" s="337"/>
      <c r="F5" s="166"/>
      <c r="G5" s="337"/>
      <c r="H5" s="337"/>
      <c r="I5" s="337"/>
      <c r="J5" s="449"/>
      <c r="K5" s="168"/>
      <c r="L5" s="31" t="s">
        <v>892</v>
      </c>
      <c r="M5" s="31">
        <f>(VLOOKUP($M$1,$A$99:$N$128,7,FALSE))</f>
        <v>0</v>
      </c>
    </row>
    <row r="6" spans="1:16" ht="15.75" hidden="1" customHeight="1" thickBot="1">
      <c r="A6" s="336" t="s">
        <v>196</v>
      </c>
      <c r="B6" s="169">
        <f>VLOOKUP('Data Entry Sheet'!D42,equipment!D107:E112,2,FALSE)</f>
        <v>170</v>
      </c>
      <c r="C6" s="337" t="s">
        <v>197</v>
      </c>
      <c r="D6" s="166"/>
      <c r="E6" s="337"/>
      <c r="F6" s="166"/>
      <c r="G6" s="337"/>
      <c r="H6" s="337"/>
      <c r="I6" s="337"/>
      <c r="J6" s="449"/>
      <c r="K6" s="168"/>
      <c r="L6" s="31" t="s">
        <v>893</v>
      </c>
      <c r="M6" s="31">
        <f>(VLOOKUP($M$1,$A$99:$N$128,8,FALSE))</f>
        <v>0</v>
      </c>
    </row>
    <row r="7" spans="1:16" ht="15.75" hidden="1" customHeight="1">
      <c r="A7" s="336"/>
      <c r="B7" s="166"/>
      <c r="C7" s="337"/>
      <c r="D7" s="166"/>
      <c r="E7" s="337"/>
      <c r="F7" s="166"/>
      <c r="G7" s="345"/>
      <c r="H7" s="337"/>
      <c r="I7" s="337"/>
      <c r="J7" s="449"/>
      <c r="K7" s="168"/>
      <c r="L7" s="31" t="s">
        <v>894</v>
      </c>
      <c r="M7" s="31">
        <f>(VLOOKUP($M$1,$A$99:$N$128,9,FALSE))</f>
        <v>0</v>
      </c>
    </row>
    <row r="8" spans="1:16">
      <c r="A8" s="333"/>
      <c r="B8" s="462">
        <f>IF(equipment!B7+equipment!B8=0,(B4*24*(VLOOKUP(B2,A68:B76,2,FALSE)))+IF('Data Entry Sheet'!I31="Combi Hybrid",(B6*4.18*65-10)/3600*365,IF('Data Entry Sheet'!I31="System Hybrid",B6*(4.18*65-10)/3600*365,D50)),equipment!B7+equipment!B8)</f>
        <v>18030.383533286124</v>
      </c>
      <c r="C8" s="333"/>
      <c r="D8" s="462">
        <f>IF('Data Entry Sheet'!I31="Combi Hybrid",(B4*24*(VLOOKUP(B2,A68:B76,2,FALSE)))-equipment!I10*B8,IF('Data Entry Sheet'!I31="System Hybrid",(B4*24*(VLOOKUP(B2,A68:B76,2,FALSE)))-equipment!I10*B8,B8-G8))</f>
        <v>17927.741311063903</v>
      </c>
      <c r="E8" s="333"/>
      <c r="F8" s="462">
        <f>equipment!I10*B8+IF('Data Entry Sheet'!I31="Combi Hybrid",((VLOOKUP('Data Entry Sheet'!D42,equipment!D107:E112,2,FALSE))*4.18*65-10)/3600*365,IF('Data Entry Sheet'!I31="System Hybrid",VLOOKUP('Data Entry Sheet'!D42,equipment!D107:E112,2,FALSE)*(4.18*65-10)/3600*365))</f>
        <v>0</v>
      </c>
      <c r="G8" s="462">
        <f>D55</f>
        <v>102.6422222222222</v>
      </c>
      <c r="H8" s="333"/>
      <c r="I8" s="333"/>
      <c r="J8" s="447"/>
      <c r="K8" s="34"/>
      <c r="L8" s="31" t="s">
        <v>906</v>
      </c>
      <c r="M8" s="31">
        <f>(VLOOKUP($M$1,$A$99:$P$128,15,FALSE))</f>
        <v>7.6300000000000007E-2</v>
      </c>
      <c r="N8" s="31">
        <f>(VLOOKUP($M$1,$A$99:$R$128,16,FALSE))</f>
        <v>0.10199999999999999</v>
      </c>
    </row>
    <row r="9" spans="1:16">
      <c r="A9" s="335"/>
      <c r="B9" s="333"/>
      <c r="C9" s="333"/>
      <c r="D9" s="333"/>
      <c r="E9" s="333"/>
      <c r="F9" s="333"/>
      <c r="G9" s="333"/>
      <c r="H9" s="333"/>
      <c r="I9" s="333"/>
      <c r="J9" s="447"/>
      <c r="K9" s="34"/>
    </row>
    <row r="10" spans="1:16" ht="14.25" customHeight="1">
      <c r="A10" s="338" t="s">
        <v>687</v>
      </c>
      <c r="B10" s="339" t="s">
        <v>686</v>
      </c>
      <c r="C10" s="333"/>
      <c r="D10" s="341" t="s">
        <v>804</v>
      </c>
      <c r="E10" s="333"/>
      <c r="F10" s="333"/>
      <c r="G10" s="333"/>
      <c r="H10" s="333"/>
      <c r="I10" s="333"/>
      <c r="J10" s="447"/>
      <c r="K10" s="34"/>
      <c r="L10" s="31" t="s">
        <v>1084</v>
      </c>
      <c r="M10" s="31">
        <v>20000</v>
      </c>
    </row>
    <row r="11" spans="1:16" ht="20.25">
      <c r="A11" s="182" t="s">
        <v>29</v>
      </c>
      <c r="B11" s="170">
        <f>VLOOKUP($A$11,$H$67:$Q$79,5,FALSE)</f>
        <v>1365.9381464610701</v>
      </c>
      <c r="C11" s="333"/>
      <c r="D11" s="48">
        <v>0.15</v>
      </c>
      <c r="E11" s="333" t="s">
        <v>805</v>
      </c>
      <c r="F11" s="343" t="s">
        <v>152</v>
      </c>
      <c r="G11" s="343"/>
      <c r="H11" s="343"/>
      <c r="I11" s="343"/>
      <c r="J11" s="450"/>
      <c r="K11" s="34"/>
    </row>
    <row r="12" spans="1:16" ht="21" thickBot="1">
      <c r="A12" s="338" t="s">
        <v>694</v>
      </c>
      <c r="B12" s="339" t="s">
        <v>686</v>
      </c>
      <c r="C12" s="340" t="s">
        <v>685</v>
      </c>
      <c r="D12" s="340" t="s">
        <v>695</v>
      </c>
      <c r="E12" s="333"/>
      <c r="F12" s="344"/>
      <c r="G12" s="344"/>
      <c r="H12" s="344"/>
      <c r="I12" s="344"/>
      <c r="J12" s="450"/>
      <c r="K12" s="34"/>
    </row>
    <row r="13" spans="1:16" ht="14.25" customHeight="1">
      <c r="A13" s="170" t="str">
        <f>IF(equipment!E10="Heating only","HEAT PUMP (electric)",+IF(equipment!E10="Heating and Hot Water","HEAT PUMP (electric)",M13))</f>
        <v>HEAT PUMP (electric)</v>
      </c>
      <c r="B13" s="533">
        <f>VLOOKUP($A$13,$H$67:$Q$83,5,FALSE)+(D55*D11)</f>
        <v>874.25052429505581</v>
      </c>
      <c r="C13" s="171">
        <f>1-(B13/B11)</f>
        <v>0.35996331418073302</v>
      </c>
      <c r="D13" s="172">
        <f>VLOOKUP($A$11,$H$67:$R$83,9,FALSE)-VLOOKUP($A$13,$H$67:$R$83,9,FALSE)</f>
        <v>427344.87849910685</v>
      </c>
      <c r="E13" s="333"/>
      <c r="F13" s="425" t="s">
        <v>153</v>
      </c>
      <c r="G13" s="760" t="s">
        <v>257</v>
      </c>
      <c r="H13" s="760" t="s">
        <v>255</v>
      </c>
      <c r="I13" s="758" t="s">
        <v>806</v>
      </c>
      <c r="J13" s="544"/>
      <c r="K13" s="34"/>
      <c r="M13" s="31" t="e">
        <f>VLOOKUP('Data Entry Sheet'!I33,'MCS calc and run costs '!H71:R79,10,FALSE)</f>
        <v>#N/A</v>
      </c>
    </row>
    <row r="14" spans="1:16" ht="14.25" customHeight="1">
      <c r="A14" s="335" t="s">
        <v>1159</v>
      </c>
      <c r="B14" s="333"/>
      <c r="C14" s="333"/>
      <c r="D14" s="333"/>
      <c r="E14" s="333"/>
      <c r="F14" s="426"/>
      <c r="G14" s="761"/>
      <c r="H14" s="761"/>
      <c r="I14" s="759"/>
      <c r="J14" s="544"/>
      <c r="K14" s="34"/>
      <c r="P14" s="57"/>
    </row>
    <row r="15" spans="1:16" ht="14.25" customHeight="1">
      <c r="A15" s="727" t="s">
        <v>230</v>
      </c>
      <c r="B15" s="333"/>
      <c r="C15" s="333"/>
      <c r="D15" s="333"/>
      <c r="E15" s="346"/>
      <c r="F15" s="427" t="s">
        <v>140</v>
      </c>
      <c r="G15" s="428">
        <v>0.16814999999999999</v>
      </c>
      <c r="H15" s="429">
        <f>$B$13*G15</f>
        <v>147.00522566021363</v>
      </c>
      <c r="I15" s="430">
        <f t="shared" ref="I15:I26" si="0">$H$27/12</f>
        <v>72.850567647403423</v>
      </c>
      <c r="J15" s="545"/>
      <c r="K15" s="34"/>
      <c r="P15" s="57"/>
    </row>
    <row r="16" spans="1:16" ht="23.25" customHeight="1">
      <c r="A16" s="727"/>
      <c r="C16" s="333"/>
      <c r="D16" s="348" t="s">
        <v>154</v>
      </c>
      <c r="E16" s="333"/>
      <c r="F16" s="427" t="s">
        <v>141</v>
      </c>
      <c r="G16" s="428">
        <v>0.15770000000000001</v>
      </c>
      <c r="H16" s="429">
        <f t="shared" ref="H16:H26" si="1">$B$13*G16</f>
        <v>137.8693076813303</v>
      </c>
      <c r="I16" s="430">
        <f t="shared" si="0"/>
        <v>72.850567647403423</v>
      </c>
      <c r="J16" s="545"/>
      <c r="K16" s="34"/>
      <c r="L16" s="31" t="s">
        <v>714</v>
      </c>
      <c r="M16" s="31" t="s">
        <v>712</v>
      </c>
      <c r="N16" s="31" t="s">
        <v>711</v>
      </c>
      <c r="P16" s="57"/>
    </row>
    <row r="17" spans="1:25" ht="14.25" customHeight="1">
      <c r="A17" s="333"/>
      <c r="B17" s="333"/>
      <c r="C17" s="333"/>
      <c r="D17" s="333"/>
      <c r="E17" s="333"/>
      <c r="F17" s="427" t="s">
        <v>142</v>
      </c>
      <c r="G17" s="428">
        <v>0.12540000000000001</v>
      </c>
      <c r="H17" s="429">
        <f t="shared" si="1"/>
        <v>109.63101574660001</v>
      </c>
      <c r="I17" s="430">
        <f t="shared" si="0"/>
        <v>72.850567647403423</v>
      </c>
      <c r="J17" s="545"/>
      <c r="K17" s="34"/>
      <c r="M17" s="31" t="s">
        <v>713</v>
      </c>
      <c r="P17" s="57"/>
      <c r="Q17" s="475"/>
      <c r="R17" s="476" t="s">
        <v>130</v>
      </c>
      <c r="S17" s="476" t="s">
        <v>715</v>
      </c>
      <c r="T17" s="476" t="s">
        <v>716</v>
      </c>
      <c r="U17" s="476" t="s">
        <v>717</v>
      </c>
      <c r="V17" s="476" t="s">
        <v>718</v>
      </c>
      <c r="W17" s="476" t="s">
        <v>719</v>
      </c>
      <c r="X17" s="476" t="s">
        <v>131</v>
      </c>
      <c r="Y17" s="477" t="s">
        <v>129</v>
      </c>
    </row>
    <row r="18" spans="1:25" ht="14.25" customHeight="1">
      <c r="A18" s="334" t="s">
        <v>1163</v>
      </c>
      <c r="B18" s="333"/>
      <c r="C18" s="333"/>
      <c r="D18" s="333"/>
      <c r="E18" s="333"/>
      <c r="F18" s="427" t="s">
        <v>143</v>
      </c>
      <c r="G18" s="428">
        <v>8.4549999999999986E-2</v>
      </c>
      <c r="H18" s="429">
        <f t="shared" si="1"/>
        <v>73.917881829146964</v>
      </c>
      <c r="I18" s="430">
        <f t="shared" si="0"/>
        <v>72.850567647403423</v>
      </c>
      <c r="J18" s="545"/>
      <c r="K18" s="34"/>
      <c r="L18" s="478">
        <f>+IF($B$2="London",R18)+IF($B$2="plymouth",S18)+IF($B$2="manchester",T18)+IF($B$2="edinburgh",U18)+IF($B$2="belfast",V18)+IF($B$2="birmingham",W18)+IF($B$2="glasgow",X18)+IF($B$2="cardiff",Y18)+IF($B$2="Jersey",S18)</f>
        <v>136.71</v>
      </c>
      <c r="M18" s="188">
        <f t="shared" ref="M18:M28" si="2">H15/($I$81*3)</f>
        <v>1090.7814182727388</v>
      </c>
      <c r="N18" s="188">
        <f>IF(L18&lt;M18,(L18),(M18))</f>
        <v>136.71</v>
      </c>
      <c r="O18" s="187">
        <f t="shared" ref="O18:O28" si="3">N18*$I$81</f>
        <v>6.141494547958013</v>
      </c>
      <c r="P18" s="57"/>
      <c r="Q18" s="476" t="s">
        <v>720</v>
      </c>
      <c r="R18" s="479">
        <v>142.91</v>
      </c>
      <c r="S18" s="478">
        <v>157.47999999999999</v>
      </c>
      <c r="T18" s="478">
        <v>112.53</v>
      </c>
      <c r="U18" s="480">
        <v>115.63</v>
      </c>
      <c r="V18" s="479">
        <v>110.98</v>
      </c>
      <c r="W18" s="478">
        <v>136.71</v>
      </c>
      <c r="X18" s="478">
        <v>102.61</v>
      </c>
      <c r="Y18" s="480">
        <v>130.82</v>
      </c>
    </row>
    <row r="19" spans="1:25" ht="14.25" customHeight="1">
      <c r="B19" s="347" t="s">
        <v>256</v>
      </c>
      <c r="E19" s="333"/>
      <c r="F19" s="427" t="s">
        <v>144</v>
      </c>
      <c r="G19" s="428">
        <v>4.5600000000000002E-2</v>
      </c>
      <c r="H19" s="429">
        <f t="shared" si="1"/>
        <v>39.865823907854548</v>
      </c>
      <c r="I19" s="430">
        <f t="shared" si="0"/>
        <v>72.850567647403423</v>
      </c>
      <c r="J19" s="545"/>
      <c r="K19" s="34"/>
      <c r="L19" s="478">
        <f t="shared" ref="L19:L32" si="4">+IF($B$2="London",R19)+IF($B$2="plymouth",S19)+IF($B$2="manchester",T19)+IF($B$2="edinburgh",U19)+IF($B$2="belfast",V19)+IF($B$2="birmingham",W19)+IF($B$2="glasgow",X19)+IF($B$2="cardiff",Y19)+IF($B$2="Jersey",S19)</f>
        <v>188.16</v>
      </c>
      <c r="M19" s="188">
        <f t="shared" si="2"/>
        <v>1022.9927425608738</v>
      </c>
      <c r="N19" s="188">
        <f t="shared" ref="N19:N28" si="5">IF(L19&lt;M19,(L19),(M19))</f>
        <v>188.16</v>
      </c>
      <c r="O19" s="187">
        <f t="shared" si="3"/>
        <v>8.4528097004153295</v>
      </c>
      <c r="Q19" s="481" t="s">
        <v>721</v>
      </c>
      <c r="R19" s="482">
        <v>197.67999999999998</v>
      </c>
      <c r="S19" s="483">
        <v>218.4</v>
      </c>
      <c r="T19" s="483">
        <v>177.51999999999998</v>
      </c>
      <c r="U19" s="484">
        <v>185.36</v>
      </c>
      <c r="V19" s="482">
        <v>180.04</v>
      </c>
      <c r="W19" s="483">
        <v>188.16</v>
      </c>
      <c r="X19" s="483">
        <v>167.44</v>
      </c>
      <c r="Y19" s="484">
        <v>189.84</v>
      </c>
    </row>
    <row r="20" spans="1:25" ht="14.25" customHeight="1">
      <c r="A20" s="335"/>
      <c r="B20" s="356">
        <f>D62</f>
        <v>12527.81922941815</v>
      </c>
      <c r="C20" s="333"/>
      <c r="D20" s="11" t="s">
        <v>155</v>
      </c>
      <c r="E20" s="333"/>
      <c r="F20" s="427" t="s">
        <v>145</v>
      </c>
      <c r="G20" s="428">
        <v>1.7999999999999999E-2</v>
      </c>
      <c r="H20" s="429">
        <f t="shared" si="1"/>
        <v>15.736509437311003</v>
      </c>
      <c r="I20" s="430">
        <f t="shared" si="0"/>
        <v>72.850567647403423</v>
      </c>
      <c r="J20" s="545"/>
      <c r="K20" s="34"/>
      <c r="L20" s="478">
        <f t="shared" si="4"/>
        <v>359.59999999999997</v>
      </c>
      <c r="M20" s="188">
        <f t="shared" si="2"/>
        <v>813.46410854238172</v>
      </c>
      <c r="N20" s="188">
        <f t="shared" si="5"/>
        <v>359.59999999999997</v>
      </c>
      <c r="O20" s="187">
        <f t="shared" si="3"/>
        <v>16.154498130683205</v>
      </c>
      <c r="Q20" s="481" t="s">
        <v>722</v>
      </c>
      <c r="R20" s="482">
        <v>372</v>
      </c>
      <c r="S20" s="483">
        <v>415.40000000000003</v>
      </c>
      <c r="T20" s="483">
        <v>344.09999999999997</v>
      </c>
      <c r="U20" s="484">
        <v>341</v>
      </c>
      <c r="V20" s="482">
        <v>334.8</v>
      </c>
      <c r="W20" s="483">
        <v>359.59999999999997</v>
      </c>
      <c r="X20" s="483">
        <v>308.14</v>
      </c>
      <c r="Y20" s="484">
        <v>359.59999999999997</v>
      </c>
    </row>
    <row r="21" spans="1:25" ht="18" customHeight="1">
      <c r="A21" s="335"/>
      <c r="B21" s="333"/>
      <c r="C21" s="333"/>
      <c r="D21" s="333"/>
      <c r="E21" s="333"/>
      <c r="F21" s="427" t="s">
        <v>146</v>
      </c>
      <c r="G21" s="428">
        <v>1.7999999999999999E-2</v>
      </c>
      <c r="H21" s="429">
        <f t="shared" si="1"/>
        <v>15.736509437311003</v>
      </c>
      <c r="I21" s="430">
        <f t="shared" si="0"/>
        <v>72.850567647403423</v>
      </c>
      <c r="J21" s="545"/>
      <c r="K21" s="34"/>
      <c r="L21" s="478">
        <f t="shared" si="4"/>
        <v>432</v>
      </c>
      <c r="M21" s="188">
        <f t="shared" si="2"/>
        <v>548.47201257781785</v>
      </c>
      <c r="N21" s="188">
        <f t="shared" si="5"/>
        <v>432</v>
      </c>
      <c r="O21" s="187">
        <f t="shared" si="3"/>
        <v>19.406961046871928</v>
      </c>
      <c r="Q21" s="481" t="s">
        <v>723</v>
      </c>
      <c r="R21" s="482">
        <v>462</v>
      </c>
      <c r="S21" s="483">
        <v>506.99999999999994</v>
      </c>
      <c r="T21" s="483">
        <v>402</v>
      </c>
      <c r="U21" s="484">
        <v>423</v>
      </c>
      <c r="V21" s="482">
        <v>432</v>
      </c>
      <c r="W21" s="483">
        <v>432</v>
      </c>
      <c r="X21" s="483">
        <v>405</v>
      </c>
      <c r="Y21" s="484">
        <v>438</v>
      </c>
    </row>
    <row r="22" spans="1:25" ht="17.25" customHeight="1">
      <c r="A22" s="608" t="s">
        <v>904</v>
      </c>
      <c r="B22" s="54">
        <f>M8*B20*0.75</f>
        <v>716.90445540345377</v>
      </c>
      <c r="C22" s="461" t="s">
        <v>505</v>
      </c>
      <c r="D22" s="54">
        <f>M8*B20*1.2</f>
        <v>1147.0471286455258</v>
      </c>
      <c r="E22" s="333"/>
      <c r="F22" s="427" t="s">
        <v>147</v>
      </c>
      <c r="G22" s="428">
        <v>1.6150000000000001E-2</v>
      </c>
      <c r="H22" s="429">
        <f t="shared" si="1"/>
        <v>14.119145967365153</v>
      </c>
      <c r="I22" s="430">
        <f t="shared" si="0"/>
        <v>72.850567647403423</v>
      </c>
      <c r="J22" s="545"/>
      <c r="K22" s="34"/>
      <c r="L22" s="478">
        <f t="shared" si="4"/>
        <v>480.5</v>
      </c>
      <c r="M22" s="188">
        <f t="shared" si="2"/>
        <v>295.80513037904791</v>
      </c>
      <c r="N22" s="188">
        <f t="shared" si="5"/>
        <v>295.80513037904791</v>
      </c>
      <c r="O22" s="187">
        <f t="shared" si="3"/>
        <v>13.28860796928485</v>
      </c>
      <c r="Q22" s="481" t="s">
        <v>724</v>
      </c>
      <c r="R22" s="482">
        <v>486.7</v>
      </c>
      <c r="S22" s="483">
        <v>545.6</v>
      </c>
      <c r="T22" s="483">
        <v>452.59999999999997</v>
      </c>
      <c r="U22" s="484">
        <v>508.4</v>
      </c>
      <c r="V22" s="482">
        <v>502.2</v>
      </c>
      <c r="W22" s="483">
        <v>480.5</v>
      </c>
      <c r="X22" s="483">
        <v>477.40000000000003</v>
      </c>
      <c r="Y22" s="484">
        <v>480.5</v>
      </c>
    </row>
    <row r="23" spans="1:25" ht="15" customHeight="1">
      <c r="A23" s="608"/>
      <c r="B23" s="333"/>
      <c r="C23" s="333"/>
      <c r="D23" s="333"/>
      <c r="E23" s="333"/>
      <c r="F23" s="427" t="s">
        <v>148</v>
      </c>
      <c r="G23" s="428">
        <v>2.375E-2</v>
      </c>
      <c r="H23" s="429">
        <f t="shared" si="1"/>
        <v>20.763449952007576</v>
      </c>
      <c r="I23" s="430">
        <f t="shared" si="0"/>
        <v>72.850567647403423</v>
      </c>
      <c r="J23" s="545"/>
      <c r="K23" s="34"/>
      <c r="L23" s="478">
        <f t="shared" si="4"/>
        <v>471</v>
      </c>
      <c r="M23" s="188">
        <f t="shared" si="2"/>
        <v>116.765183044361</v>
      </c>
      <c r="N23" s="188">
        <f t="shared" si="5"/>
        <v>116.765183044361</v>
      </c>
      <c r="O23" s="187">
        <f t="shared" si="3"/>
        <v>5.2455031457703347</v>
      </c>
      <c r="Q23" s="481" t="s">
        <v>725</v>
      </c>
      <c r="R23" s="482">
        <v>489</v>
      </c>
      <c r="S23" s="483">
        <v>537</v>
      </c>
      <c r="T23" s="483">
        <v>441</v>
      </c>
      <c r="U23" s="484">
        <v>438</v>
      </c>
      <c r="V23" s="482">
        <v>450</v>
      </c>
      <c r="W23" s="483">
        <v>471</v>
      </c>
      <c r="X23" s="483">
        <v>432</v>
      </c>
      <c r="Y23" s="484">
        <v>480</v>
      </c>
    </row>
    <row r="24" spans="1:25" ht="15" customHeight="1">
      <c r="A24" s="608" t="s">
        <v>905</v>
      </c>
      <c r="B24" s="54">
        <f>B22*7</f>
        <v>5018.3311878241766</v>
      </c>
      <c r="C24" s="461" t="s">
        <v>505</v>
      </c>
      <c r="D24" s="54">
        <f>D22*7</f>
        <v>8029.3299005186809</v>
      </c>
      <c r="E24" s="333"/>
      <c r="F24" s="427" t="s">
        <v>149</v>
      </c>
      <c r="G24" s="428">
        <v>5.7949999999999995E-2</v>
      </c>
      <c r="H24" s="429">
        <f t="shared" si="1"/>
        <v>50.66281788289848</v>
      </c>
      <c r="I24" s="430">
        <f t="shared" si="0"/>
        <v>72.850567647403423</v>
      </c>
      <c r="J24" s="545"/>
      <c r="K24" s="34"/>
      <c r="L24" s="478">
        <f t="shared" si="4"/>
        <v>474.3</v>
      </c>
      <c r="M24" s="188">
        <f t="shared" si="2"/>
        <v>116.765183044361</v>
      </c>
      <c r="N24" s="188">
        <f t="shared" si="5"/>
        <v>116.765183044361</v>
      </c>
      <c r="O24" s="187">
        <f t="shared" si="3"/>
        <v>5.2455031457703347</v>
      </c>
      <c r="Q24" s="481" t="s">
        <v>726</v>
      </c>
      <c r="R24" s="482">
        <v>480.5</v>
      </c>
      <c r="S24" s="483">
        <v>520.80000000000007</v>
      </c>
      <c r="T24" s="483">
        <v>437.09999999999997</v>
      </c>
      <c r="U24" s="484">
        <v>449.5</v>
      </c>
      <c r="V24" s="482">
        <v>440.2</v>
      </c>
      <c r="W24" s="483">
        <v>474.3</v>
      </c>
      <c r="X24" s="483">
        <v>427.8</v>
      </c>
      <c r="Y24" s="484">
        <v>471.2</v>
      </c>
    </row>
    <row r="25" spans="1:25" ht="15" customHeight="1">
      <c r="A25" s="608"/>
      <c r="B25" s="333"/>
      <c r="C25" s="333"/>
      <c r="D25" s="333"/>
      <c r="E25" s="333"/>
      <c r="F25" s="427" t="s">
        <v>150</v>
      </c>
      <c r="G25" s="428">
        <v>0.11589999999999999</v>
      </c>
      <c r="H25" s="429">
        <f t="shared" si="1"/>
        <v>101.32563576579696</v>
      </c>
      <c r="I25" s="430">
        <f t="shared" si="0"/>
        <v>72.850567647403423</v>
      </c>
      <c r="J25" s="545"/>
      <c r="K25" s="34"/>
      <c r="L25" s="478">
        <f t="shared" si="4"/>
        <v>409.2</v>
      </c>
      <c r="M25" s="188">
        <f t="shared" si="2"/>
        <v>104.76431700924613</v>
      </c>
      <c r="N25" s="188">
        <f t="shared" si="5"/>
        <v>104.76431700924613</v>
      </c>
      <c r="O25" s="187">
        <f t="shared" si="3"/>
        <v>4.7063819891217173</v>
      </c>
      <c r="Q25" s="481" t="s">
        <v>727</v>
      </c>
      <c r="R25" s="482">
        <v>427.8</v>
      </c>
      <c r="S25" s="483">
        <v>480.5</v>
      </c>
      <c r="T25" s="483">
        <v>372</v>
      </c>
      <c r="U25" s="484">
        <v>403</v>
      </c>
      <c r="V25" s="482">
        <v>381.3</v>
      </c>
      <c r="W25" s="483">
        <v>409.2</v>
      </c>
      <c r="X25" s="483">
        <v>368.90000000000003</v>
      </c>
      <c r="Y25" s="484">
        <v>409.2</v>
      </c>
    </row>
    <row r="26" spans="1:25" ht="15" customHeight="1">
      <c r="A26" s="347" t="s">
        <v>925</v>
      </c>
      <c r="B26" s="333"/>
      <c r="C26" s="333"/>
      <c r="D26" s="54">
        <f>O39</f>
        <v>109.70570828443822</v>
      </c>
      <c r="E26" s="333"/>
      <c r="F26" s="427" t="s">
        <v>151</v>
      </c>
      <c r="G26" s="428">
        <v>0.16880000000000001</v>
      </c>
      <c r="H26" s="429">
        <f t="shared" si="1"/>
        <v>147.57348850100541</v>
      </c>
      <c r="I26" s="430">
        <f t="shared" si="0"/>
        <v>72.850567647403423</v>
      </c>
      <c r="J26" s="545"/>
      <c r="K26" s="34"/>
      <c r="L26" s="478">
        <f t="shared" si="4"/>
        <v>351</v>
      </c>
      <c r="M26" s="188">
        <f t="shared" si="2"/>
        <v>154.06517207242078</v>
      </c>
      <c r="N26" s="188">
        <f t="shared" si="5"/>
        <v>154.06517207242078</v>
      </c>
      <c r="O26" s="187">
        <f t="shared" si="3"/>
        <v>6.9211499840025255</v>
      </c>
      <c r="Q26" s="481" t="s">
        <v>728</v>
      </c>
      <c r="R26" s="482">
        <v>375</v>
      </c>
      <c r="S26" s="483">
        <v>426</v>
      </c>
      <c r="T26" s="483">
        <v>315</v>
      </c>
      <c r="U26" s="484">
        <v>336</v>
      </c>
      <c r="V26" s="482">
        <v>315</v>
      </c>
      <c r="W26" s="483">
        <v>351</v>
      </c>
      <c r="X26" s="483">
        <v>295.79999999999995</v>
      </c>
      <c r="Y26" s="484">
        <v>354</v>
      </c>
    </row>
    <row r="27" spans="1:25" ht="15" customHeight="1" thickBot="1">
      <c r="A27" s="333"/>
      <c r="B27" s="333"/>
      <c r="C27" s="333"/>
      <c r="D27" s="333"/>
      <c r="E27" s="333"/>
      <c r="F27" s="431" t="s">
        <v>132</v>
      </c>
      <c r="G27" s="432">
        <f>SUM(G15:G26)</f>
        <v>0.99994999999999989</v>
      </c>
      <c r="H27" s="437">
        <f>SUM(H15:H26)</f>
        <v>874.20681176884113</v>
      </c>
      <c r="I27" s="433"/>
      <c r="J27" s="546"/>
      <c r="K27" s="34"/>
      <c r="L27" s="478">
        <f t="shared" si="4"/>
        <v>252.03000000000003</v>
      </c>
      <c r="M27" s="188">
        <f t="shared" si="2"/>
        <v>375.91901985670665</v>
      </c>
      <c r="N27" s="188">
        <f t="shared" si="5"/>
        <v>252.03000000000003</v>
      </c>
      <c r="O27" s="187">
        <f t="shared" si="3"/>
        <v>11.322074982970214</v>
      </c>
      <c r="Q27" s="481" t="s">
        <v>729</v>
      </c>
      <c r="R27" s="482">
        <v>270.32</v>
      </c>
      <c r="S27" s="483">
        <v>296.36</v>
      </c>
      <c r="T27" s="483">
        <v>227.85</v>
      </c>
      <c r="U27" s="484">
        <v>238.39000000000001</v>
      </c>
      <c r="V27" s="482">
        <v>212.66</v>
      </c>
      <c r="W27" s="483">
        <v>252.03000000000003</v>
      </c>
      <c r="X27" s="483">
        <v>203.35999999999999</v>
      </c>
      <c r="Y27" s="484">
        <v>252.34000000000003</v>
      </c>
    </row>
    <row r="28" spans="1:25" ht="15" customHeight="1">
      <c r="A28" s="333"/>
      <c r="B28" s="333"/>
      <c r="C28" s="333"/>
      <c r="D28" s="333"/>
      <c r="E28" s="333"/>
      <c r="F28" s="333"/>
      <c r="G28" s="333"/>
      <c r="H28" s="333"/>
      <c r="I28" s="333"/>
      <c r="J28" s="447"/>
      <c r="K28" s="34"/>
      <c r="L28" s="478">
        <f t="shared" si="4"/>
        <v>161.69999999999999</v>
      </c>
      <c r="M28" s="188">
        <f t="shared" si="2"/>
        <v>751.83803971341331</v>
      </c>
      <c r="N28" s="188">
        <f t="shared" si="5"/>
        <v>161.69999999999999</v>
      </c>
      <c r="O28" s="187">
        <f t="shared" si="3"/>
        <v>7.2641333362944227</v>
      </c>
      <c r="Q28" s="481" t="s">
        <v>730</v>
      </c>
      <c r="R28" s="482">
        <v>173.4</v>
      </c>
      <c r="S28" s="483">
        <v>202.20000000000002</v>
      </c>
      <c r="T28" s="483">
        <v>141.6</v>
      </c>
      <c r="U28" s="484">
        <v>157.5</v>
      </c>
      <c r="V28" s="482">
        <v>142.79999999999998</v>
      </c>
      <c r="W28" s="483">
        <v>161.69999999999999</v>
      </c>
      <c r="X28" s="483">
        <v>131.4</v>
      </c>
      <c r="Y28" s="484">
        <v>161.69999999999999</v>
      </c>
    </row>
    <row r="29" spans="1:25" ht="15" customHeight="1">
      <c r="A29" s="334" t="s">
        <v>1162</v>
      </c>
      <c r="B29" s="333"/>
      <c r="C29" s="333"/>
      <c r="D29" s="333"/>
      <c r="E29" s="333"/>
      <c r="F29" s="333"/>
      <c r="G29" s="333"/>
      <c r="H29" s="333"/>
      <c r="I29" s="333"/>
      <c r="J29" s="447"/>
      <c r="K29" s="34"/>
      <c r="L29" s="478"/>
      <c r="M29" s="188"/>
      <c r="N29" s="188"/>
      <c r="O29" s="187"/>
      <c r="Q29" s="481"/>
      <c r="R29" s="482"/>
      <c r="S29" s="483"/>
      <c r="T29" s="483"/>
      <c r="U29" s="484"/>
      <c r="V29" s="482"/>
      <c r="W29" s="483"/>
      <c r="X29" s="483"/>
      <c r="Y29" s="484"/>
    </row>
    <row r="30" spans="1:25" ht="15" customHeight="1">
      <c r="B30" s="347" t="s">
        <v>256</v>
      </c>
      <c r="E30" s="333"/>
      <c r="F30" s="333"/>
      <c r="G30" s="333"/>
      <c r="H30" s="333"/>
      <c r="I30" s="333"/>
      <c r="J30" s="447"/>
      <c r="K30" s="34"/>
      <c r="L30" s="478"/>
      <c r="M30" s="188"/>
      <c r="N30" s="188"/>
      <c r="O30" s="187"/>
      <c r="Q30" s="481"/>
      <c r="R30" s="482"/>
      <c r="S30" s="483"/>
      <c r="T30" s="483"/>
      <c r="U30" s="484"/>
      <c r="V30" s="482"/>
      <c r="W30" s="483"/>
      <c r="X30" s="483"/>
      <c r="Y30" s="484"/>
    </row>
    <row r="31" spans="1:25" ht="15" customHeight="1">
      <c r="A31" s="335"/>
      <c r="B31" s="356">
        <f>D62</f>
        <v>12527.81922941815</v>
      </c>
      <c r="C31" s="333"/>
      <c r="D31" s="607" t="s">
        <v>155</v>
      </c>
      <c r="E31" s="333"/>
      <c r="F31" s="333"/>
      <c r="G31" s="333"/>
      <c r="H31" s="333"/>
      <c r="I31" s="333"/>
      <c r="J31" s="447"/>
      <c r="K31" s="34"/>
      <c r="L31" s="478"/>
      <c r="M31" s="188"/>
      <c r="N31" s="188"/>
      <c r="O31" s="187"/>
      <c r="Q31" s="481"/>
      <c r="R31" s="482"/>
      <c r="S31" s="483"/>
      <c r="T31" s="483"/>
      <c r="U31" s="484"/>
      <c r="V31" s="482"/>
      <c r="W31" s="483"/>
      <c r="X31" s="483"/>
      <c r="Y31" s="484"/>
    </row>
    <row r="32" spans="1:25" ht="15" customHeight="1">
      <c r="A32" s="335"/>
      <c r="B32" s="333"/>
      <c r="C32" s="333"/>
      <c r="D32" s="333"/>
      <c r="E32" s="333"/>
      <c r="F32" s="333"/>
      <c r="G32" s="333"/>
      <c r="H32" s="333"/>
      <c r="I32" s="333"/>
      <c r="J32" s="447"/>
      <c r="K32" s="34"/>
      <c r="L32" s="478">
        <f t="shared" si="4"/>
        <v>123.69000000000001</v>
      </c>
      <c r="M32" s="188">
        <f>H26/($I$81*3)</f>
        <v>1094.9979387715632</v>
      </c>
      <c r="N32" s="188">
        <f>IF(L32&lt;M32,(L32),(M32))</f>
        <v>123.69000000000001</v>
      </c>
      <c r="O32" s="187">
        <f>N32*$I$81</f>
        <v>5.5565903052953454</v>
      </c>
      <c r="Q32" s="485" t="s">
        <v>731</v>
      </c>
      <c r="R32" s="486">
        <v>123.69000000000001</v>
      </c>
      <c r="S32" s="487">
        <v>143.53</v>
      </c>
      <c r="T32" s="487">
        <v>110.67</v>
      </c>
      <c r="U32" s="488">
        <v>95.789999999999992</v>
      </c>
      <c r="V32" s="486">
        <v>103.53999999999999</v>
      </c>
      <c r="W32" s="487">
        <v>123.69000000000001</v>
      </c>
      <c r="X32" s="487">
        <v>81.22</v>
      </c>
      <c r="Y32" s="488">
        <v>122.76</v>
      </c>
    </row>
    <row r="33" spans="1:25" ht="15" customHeight="1">
      <c r="A33" s="608" t="s">
        <v>904</v>
      </c>
      <c r="B33" s="611">
        <f>IF($B$8&gt;$M$10,(($M$10*(($J$70-1)/$J$70))*$N$8),($B$31*N8))*0.75</f>
        <v>958.37817105048839</v>
      </c>
      <c r="C33" s="461" t="s">
        <v>505</v>
      </c>
      <c r="D33" s="611">
        <f>IF($B$8&gt;$M$10,(($M$10*(($J$70-1)/$J$70))*$N$8),($B$31*N8))</f>
        <v>1277.8375614006511</v>
      </c>
      <c r="E33" s="333"/>
      <c r="F33" s="333"/>
      <c r="G33" s="333"/>
      <c r="H33" s="333"/>
      <c r="I33" s="333"/>
      <c r="J33" s="447"/>
      <c r="K33" s="34"/>
      <c r="L33" s="483"/>
      <c r="M33" s="188"/>
      <c r="N33" s="188"/>
      <c r="O33" s="187"/>
      <c r="Q33" s="610"/>
      <c r="R33" s="483"/>
      <c r="S33" s="483"/>
      <c r="T33" s="483"/>
      <c r="U33" s="483"/>
      <c r="V33" s="483"/>
      <c r="W33" s="483"/>
      <c r="X33" s="483"/>
      <c r="Y33" s="483"/>
    </row>
    <row r="34" spans="1:25" ht="15" customHeight="1">
      <c r="A34" s="608"/>
      <c r="B34" s="333"/>
      <c r="C34" s="333"/>
      <c r="D34" s="333"/>
      <c r="E34" s="333"/>
      <c r="F34" s="333"/>
      <c r="G34" s="333"/>
      <c r="H34" s="333"/>
      <c r="I34" s="333"/>
      <c r="J34" s="447"/>
      <c r="K34" s="34"/>
      <c r="L34" s="483"/>
      <c r="M34" s="188"/>
      <c r="N34" s="188"/>
      <c r="O34" s="187"/>
      <c r="Q34" s="610"/>
      <c r="R34" s="483"/>
      <c r="S34" s="483"/>
      <c r="T34" s="483"/>
      <c r="U34" s="483"/>
      <c r="V34" s="483"/>
      <c r="W34" s="483"/>
      <c r="X34" s="483"/>
      <c r="Y34" s="483"/>
    </row>
    <row r="35" spans="1:25" ht="15" customHeight="1">
      <c r="A35" s="608" t="s">
        <v>905</v>
      </c>
      <c r="B35" s="54">
        <f>B33*7</f>
        <v>6708.647197353419</v>
      </c>
      <c r="C35" s="461" t="s">
        <v>505</v>
      </c>
      <c r="D35" s="54">
        <f>D33*7</f>
        <v>8944.862929804558</v>
      </c>
      <c r="E35" s="333"/>
      <c r="F35" s="333"/>
      <c r="G35" s="333"/>
      <c r="H35" s="333"/>
      <c r="I35" s="333"/>
      <c r="J35" s="447"/>
      <c r="K35" s="34"/>
      <c r="L35" s="483"/>
      <c r="M35" s="188"/>
      <c r="N35" s="188"/>
      <c r="O35" s="187"/>
      <c r="Q35" s="610"/>
      <c r="R35" s="483"/>
      <c r="S35" s="483"/>
      <c r="T35" s="483"/>
      <c r="U35" s="483"/>
      <c r="V35" s="483"/>
      <c r="W35" s="483"/>
      <c r="X35" s="483"/>
      <c r="Y35" s="483"/>
    </row>
    <row r="36" spans="1:25" ht="15" customHeight="1">
      <c r="A36" s="608"/>
      <c r="B36" s="333"/>
      <c r="C36" s="333"/>
      <c r="D36" s="333"/>
      <c r="E36" s="333"/>
      <c r="F36" s="333"/>
      <c r="G36" s="333"/>
      <c r="H36" s="333"/>
      <c r="I36" s="333"/>
      <c r="J36" s="447"/>
      <c r="K36" s="34"/>
      <c r="L36" s="483"/>
      <c r="M36" s="188"/>
      <c r="N36" s="188"/>
      <c r="O36" s="187"/>
      <c r="Q36" s="610"/>
      <c r="R36" s="483"/>
      <c r="S36" s="483"/>
      <c r="T36" s="483"/>
      <c r="U36" s="483"/>
      <c r="V36" s="483"/>
      <c r="W36" s="483"/>
      <c r="X36" s="483"/>
      <c r="Y36" s="483"/>
    </row>
    <row r="37" spans="1:25" ht="15" customHeight="1">
      <c r="A37" s="347" t="s">
        <v>925</v>
      </c>
      <c r="B37" s="333"/>
      <c r="C37" s="333"/>
      <c r="D37" s="54">
        <f>O39</f>
        <v>109.70570828443822</v>
      </c>
      <c r="E37" s="333"/>
      <c r="F37" s="333"/>
      <c r="G37" s="333"/>
      <c r="H37" s="333"/>
      <c r="I37" s="333"/>
      <c r="J37" s="447"/>
      <c r="K37" s="34"/>
      <c r="L37" s="483"/>
      <c r="M37" s="188"/>
      <c r="N37" s="188"/>
      <c r="O37" s="187"/>
      <c r="Q37" s="610"/>
      <c r="R37" s="483"/>
      <c r="S37" s="483"/>
      <c r="T37" s="483"/>
      <c r="U37" s="483"/>
      <c r="V37" s="483"/>
      <c r="W37" s="483"/>
      <c r="X37" s="483"/>
      <c r="Y37" s="483"/>
    </row>
    <row r="38" spans="1:25" ht="15" customHeight="1" thickBot="1">
      <c r="A38" s="609"/>
      <c r="B38" s="333"/>
      <c r="C38" s="333"/>
      <c r="D38" s="333"/>
      <c r="E38" s="333"/>
      <c r="F38" s="333"/>
      <c r="G38" s="333"/>
      <c r="H38" s="333"/>
      <c r="I38" s="333"/>
      <c r="J38" s="447"/>
      <c r="K38" s="34"/>
      <c r="L38" s="483"/>
      <c r="M38" s="188"/>
      <c r="N38" s="188"/>
      <c r="O38" s="187"/>
      <c r="Q38" s="610"/>
      <c r="R38" s="483"/>
      <c r="S38" s="483"/>
      <c r="T38" s="483"/>
      <c r="U38" s="483"/>
      <c r="V38" s="483"/>
      <c r="W38" s="483"/>
      <c r="X38" s="483"/>
      <c r="Y38" s="483"/>
    </row>
    <row r="39" spans="1:25" ht="15" customHeight="1" thickBot="1">
      <c r="A39" s="762" t="s">
        <v>259</v>
      </c>
      <c r="B39" s="333"/>
      <c r="C39" s="333"/>
      <c r="D39" s="333"/>
      <c r="E39" s="333"/>
      <c r="F39" s="333"/>
      <c r="G39" s="333"/>
      <c r="H39" s="333"/>
      <c r="I39" s="333"/>
      <c r="J39" s="447"/>
      <c r="K39" s="34"/>
      <c r="O39" s="189">
        <f>SUM(O18:O32)</f>
        <v>109.70570828443822</v>
      </c>
      <c r="S39" s="187"/>
    </row>
    <row r="40" spans="1:25" ht="15" customHeight="1">
      <c r="A40" s="763"/>
      <c r="B40" s="333"/>
      <c r="C40" s="333"/>
      <c r="D40" s="333"/>
      <c r="E40" s="333"/>
      <c r="F40" s="333"/>
      <c r="G40" s="333"/>
      <c r="H40" s="333"/>
      <c r="I40" s="333"/>
      <c r="J40" s="447"/>
      <c r="K40" s="34"/>
    </row>
    <row r="41" spans="1:25" ht="15" customHeight="1">
      <c r="A41" s="740" t="s">
        <v>71</v>
      </c>
      <c r="B41" s="741"/>
      <c r="C41" s="741"/>
      <c r="D41" s="741"/>
      <c r="E41" s="742"/>
      <c r="F41" s="333"/>
      <c r="G41" s="757" t="s">
        <v>258</v>
      </c>
      <c r="H41" s="757"/>
      <c r="I41" s="333"/>
      <c r="J41" s="447"/>
      <c r="K41" s="34"/>
    </row>
    <row r="42" spans="1:25" ht="15" customHeight="1">
      <c r="A42" s="743" t="s">
        <v>378</v>
      </c>
      <c r="B42" s="744"/>
      <c r="C42" s="745"/>
      <c r="D42" s="350">
        <f>IF(equipment!B7=0,('MCS calc and run costs '!B8-D50),equipment!B7)</f>
        <v>15045.863533286123</v>
      </c>
      <c r="E42" s="351" t="s">
        <v>28</v>
      </c>
      <c r="F42" s="333"/>
      <c r="G42" s="757"/>
      <c r="H42" s="757"/>
      <c r="I42" s="333"/>
      <c r="J42" s="447"/>
      <c r="K42" s="34"/>
      <c r="M42" s="57"/>
      <c r="O42" s="57"/>
    </row>
    <row r="43" spans="1:25" ht="15" customHeight="1" thickBot="1">
      <c r="A43" s="748" t="s">
        <v>381</v>
      </c>
      <c r="B43" s="749"/>
      <c r="C43" s="750"/>
      <c r="D43" s="441">
        <f>IF(equipment!B7=0,D8-D51,equipment!B7-'MCS calc and run costs '!D47)</f>
        <v>15045.863533286125</v>
      </c>
      <c r="E43" s="442" t="s">
        <v>28</v>
      </c>
      <c r="F43" s="333"/>
      <c r="G43" s="333"/>
      <c r="H43" s="333"/>
      <c r="I43" s="539" t="s">
        <v>938</v>
      </c>
      <c r="J43" s="540"/>
      <c r="K43" s="34"/>
      <c r="M43" s="57"/>
    </row>
    <row r="44" spans="1:25" ht="15" customHeight="1">
      <c r="A44" s="743" t="s">
        <v>913</v>
      </c>
      <c r="B44" s="744"/>
      <c r="C44" s="745"/>
      <c r="D44" s="350">
        <f>J70</f>
        <v>3.32</v>
      </c>
      <c r="E44" s="351"/>
      <c r="F44" s="333"/>
      <c r="G44" s="735" t="s">
        <v>939</v>
      </c>
      <c r="H44" s="736"/>
      <c r="I44" s="434">
        <v>0</v>
      </c>
      <c r="J44" s="547"/>
      <c r="K44" s="34"/>
      <c r="M44" s="57"/>
    </row>
    <row r="45" spans="1:25" ht="15" customHeight="1">
      <c r="A45" s="748" t="s">
        <v>912</v>
      </c>
      <c r="B45" s="749"/>
      <c r="C45" s="750"/>
      <c r="D45" s="441">
        <f>D43/D44</f>
        <v>4531.8866064114836</v>
      </c>
      <c r="E45" s="442" t="s">
        <v>139</v>
      </c>
      <c r="F45" s="333"/>
      <c r="G45" s="737" t="s">
        <v>940</v>
      </c>
      <c r="H45" s="738"/>
      <c r="I45" s="435">
        <v>0</v>
      </c>
      <c r="J45" s="547"/>
      <c r="K45" s="34"/>
      <c r="M45" s="57"/>
      <c r="O45" s="57"/>
    </row>
    <row r="46" spans="1:25" ht="15" customHeight="1">
      <c r="A46" s="743" t="s">
        <v>391</v>
      </c>
      <c r="B46" s="744"/>
      <c r="C46" s="745"/>
      <c r="D46" s="352">
        <f>D43/D42</f>
        <v>1.0000000000000002</v>
      </c>
      <c r="E46" s="351" t="s">
        <v>380</v>
      </c>
      <c r="F46" s="333"/>
      <c r="G46" s="737" t="s">
        <v>941</v>
      </c>
      <c r="H46" s="738"/>
      <c r="I46" s="435">
        <v>0</v>
      </c>
      <c r="J46" s="547"/>
      <c r="K46" s="34"/>
      <c r="M46" s="57"/>
      <c r="O46" s="57"/>
    </row>
    <row r="47" spans="1:25" ht="15" customHeight="1">
      <c r="A47" s="743" t="s">
        <v>382</v>
      </c>
      <c r="B47" s="744"/>
      <c r="C47" s="745"/>
      <c r="D47" s="350">
        <v>0</v>
      </c>
      <c r="E47" s="351" t="s">
        <v>28</v>
      </c>
      <c r="F47" s="333"/>
      <c r="G47" s="737" t="s">
        <v>942</v>
      </c>
      <c r="H47" s="738"/>
      <c r="I47" s="435">
        <v>0</v>
      </c>
      <c r="J47" s="547"/>
      <c r="K47" s="34"/>
      <c r="M47" s="57"/>
      <c r="O47" s="57"/>
    </row>
    <row r="48" spans="1:25" ht="15" customHeight="1" thickBot="1">
      <c r="A48" s="743" t="s">
        <v>392</v>
      </c>
      <c r="B48" s="744"/>
      <c r="C48" s="745"/>
      <c r="D48" s="353">
        <f>D45+D47</f>
        <v>4531.8866064114836</v>
      </c>
      <c r="E48" s="351" t="s">
        <v>28</v>
      </c>
      <c r="F48" s="333"/>
      <c r="G48" s="746" t="s">
        <v>943</v>
      </c>
      <c r="H48" s="747"/>
      <c r="I48" s="436">
        <v>0</v>
      </c>
      <c r="J48" s="547"/>
      <c r="K48" s="34"/>
      <c r="M48" s="57"/>
      <c r="O48" s="57"/>
    </row>
    <row r="49" spans="1:30" ht="15" customHeight="1">
      <c r="A49" s="740" t="s">
        <v>72</v>
      </c>
      <c r="B49" s="741"/>
      <c r="C49" s="741"/>
      <c r="D49" s="741"/>
      <c r="E49" s="742"/>
      <c r="F49" s="333"/>
      <c r="G49" s="333"/>
      <c r="H49" s="333"/>
      <c r="I49" s="333"/>
      <c r="J49" s="447"/>
      <c r="K49" s="34"/>
      <c r="M49" s="57"/>
      <c r="O49" s="57"/>
    </row>
    <row r="50" spans="1:30" ht="15" customHeight="1">
      <c r="A50" s="743" t="s">
        <v>379</v>
      </c>
      <c r="B50" s="744"/>
      <c r="C50" s="745"/>
      <c r="D50" s="350">
        <f>IF(equipment!B8=0,((equipment!C56/3600)*365)+D55,equipment!B8)</f>
        <v>2984.5199999999995</v>
      </c>
      <c r="E50" s="351" t="s">
        <v>28</v>
      </c>
      <c r="F50" s="333"/>
      <c r="G50" s="333"/>
      <c r="H50" s="333"/>
      <c r="I50" s="333"/>
      <c r="J50" s="447"/>
      <c r="K50" s="34"/>
      <c r="M50" s="57"/>
      <c r="O50" s="57"/>
    </row>
    <row r="51" spans="1:30" ht="15" customHeight="1">
      <c r="A51" s="748" t="s">
        <v>385</v>
      </c>
      <c r="B51" s="749"/>
      <c r="C51" s="750"/>
      <c r="D51" s="441">
        <f>D50-D55</f>
        <v>2881.8777777777773</v>
      </c>
      <c r="E51" s="442" t="s">
        <v>28</v>
      </c>
      <c r="F51" s="333"/>
      <c r="G51" s="333"/>
      <c r="H51" s="333"/>
      <c r="I51" s="333"/>
      <c r="J51" s="447"/>
      <c r="K51" s="34"/>
      <c r="M51" s="57"/>
    </row>
    <row r="52" spans="1:30" ht="15" customHeight="1">
      <c r="A52" s="743" t="s">
        <v>541</v>
      </c>
      <c r="B52" s="744"/>
      <c r="C52" s="745"/>
      <c r="D52" s="350">
        <f>D51/2.5</f>
        <v>1152.751111111111</v>
      </c>
      <c r="E52" s="351" t="s">
        <v>28</v>
      </c>
      <c r="F52" s="333"/>
      <c r="G52" s="333"/>
      <c r="H52" s="333"/>
      <c r="I52" s="333"/>
      <c r="J52" s="447"/>
      <c r="K52" s="34"/>
      <c r="L52" s="35"/>
      <c r="M52" s="57"/>
    </row>
    <row r="53" spans="1:30" ht="15" customHeight="1">
      <c r="A53" s="743" t="s">
        <v>384</v>
      </c>
      <c r="B53" s="744"/>
      <c r="C53" s="745"/>
      <c r="D53" s="352">
        <f>D51/D50</f>
        <v>0.96560846560846558</v>
      </c>
      <c r="E53" s="351" t="s">
        <v>380</v>
      </c>
      <c r="F53" s="333"/>
      <c r="G53" s="739" t="s">
        <v>260</v>
      </c>
      <c r="H53" s="739"/>
      <c r="I53" s="739"/>
      <c r="J53" s="541"/>
      <c r="K53" s="34"/>
      <c r="L53" s="35"/>
      <c r="M53"/>
      <c r="AC53" s="35"/>
      <c r="AD53" s="35"/>
    </row>
    <row r="54" spans="1:30" ht="15" customHeight="1" thickBot="1">
      <c r="A54" s="743" t="s">
        <v>511</v>
      </c>
      <c r="B54" s="744"/>
      <c r="C54" s="745"/>
      <c r="D54" s="124">
        <v>1</v>
      </c>
      <c r="E54" s="354"/>
      <c r="F54" s="333"/>
      <c r="G54" s="739"/>
      <c r="H54" s="739"/>
      <c r="I54" s="739"/>
      <c r="J54" s="541"/>
      <c r="K54" s="34"/>
      <c r="L54" s="35"/>
      <c r="M54" s="57"/>
    </row>
    <row r="55" spans="1:30" ht="15" customHeight="1" thickBot="1">
      <c r="A55" s="743" t="s">
        <v>952</v>
      </c>
      <c r="B55" s="744"/>
      <c r="C55" s="745"/>
      <c r="D55" s="350">
        <f>IF(equipment!E10="Heating and Hot Water",((equipment!C60*equipment!C58/60*365))+((B6*4.18*520)/(3600))*D54,0)</f>
        <v>102.6422222222222</v>
      </c>
      <c r="E55" s="351" t="s">
        <v>28</v>
      </c>
      <c r="F55" s="333"/>
      <c r="G55" s="333"/>
      <c r="H55" s="333"/>
      <c r="I55" s="438">
        <f>3*I70*(I46+I47+I48)</f>
        <v>0</v>
      </c>
      <c r="J55" s="548"/>
      <c r="K55" s="34"/>
      <c r="L55" s="35"/>
      <c r="M55" s="57"/>
    </row>
    <row r="56" spans="1:30" ht="15.75" thickBot="1">
      <c r="A56" s="455" t="s">
        <v>387</v>
      </c>
      <c r="B56" s="456"/>
      <c r="C56" s="457"/>
      <c r="D56" s="353">
        <f>D52+D55</f>
        <v>1255.3933333333332</v>
      </c>
      <c r="E56" s="351" t="s">
        <v>28</v>
      </c>
      <c r="G56" s="523" t="s">
        <v>946</v>
      </c>
      <c r="H56" s="274"/>
      <c r="I56" s="333"/>
      <c r="J56" s="447"/>
      <c r="K56" s="57"/>
    </row>
    <row r="57" spans="1:30" ht="16.5" thickBot="1">
      <c r="A57" s="452" t="s">
        <v>383</v>
      </c>
      <c r="B57" s="453"/>
      <c r="C57" s="453"/>
      <c r="D57" s="453"/>
      <c r="E57" s="454"/>
      <c r="F57" s="331"/>
      <c r="G57" s="755" t="s">
        <v>944</v>
      </c>
      <c r="H57" s="756"/>
      <c r="I57" s="260">
        <f>((equipment!C60*equipment!C58)/60)*0.14</f>
        <v>0</v>
      </c>
      <c r="J57" s="549"/>
      <c r="K57" s="57"/>
    </row>
    <row r="58" spans="1:30" ht="15.75" customHeight="1" thickBot="1">
      <c r="A58" s="455" t="s">
        <v>386</v>
      </c>
      <c r="B58" s="456"/>
      <c r="C58" s="457"/>
      <c r="D58" s="352">
        <f>(D43+D51)/(D42+D50)</f>
        <v>0.99430726351257415</v>
      </c>
      <c r="E58" s="351" t="s">
        <v>380</v>
      </c>
      <c r="F58" s="331"/>
      <c r="G58" s="755" t="s">
        <v>945</v>
      </c>
      <c r="H58" s="756"/>
      <c r="I58" s="260">
        <f>((equipment!C61*equipment!C52)/60)*(0.14/2.5)</f>
        <v>0.44215111111111111</v>
      </c>
      <c r="J58" s="549"/>
      <c r="K58" s="35"/>
    </row>
    <row r="59" spans="1:30" ht="15.75" thickBot="1">
      <c r="A59" s="458" t="s">
        <v>272</v>
      </c>
      <c r="B59" s="459"/>
      <c r="C59" s="460"/>
      <c r="D59" s="441" t="str">
        <f>equipment!E8</f>
        <v>Samsung 9kW mono</v>
      </c>
      <c r="E59" s="442" t="s">
        <v>200</v>
      </c>
      <c r="F59" s="331"/>
      <c r="G59" s="755" t="s">
        <v>934</v>
      </c>
      <c r="H59" s="756"/>
      <c r="I59" s="260">
        <f>I58+I57</f>
        <v>0.44215111111111111</v>
      </c>
      <c r="J59" s="549"/>
      <c r="K59" s="37"/>
      <c r="L59" s="37"/>
      <c r="M59" s="37"/>
      <c r="N59" s="37"/>
      <c r="O59" s="37"/>
    </row>
    <row r="60" spans="1:30">
      <c r="A60" s="455" t="s">
        <v>273</v>
      </c>
      <c r="B60" s="456"/>
      <c r="C60" s="457"/>
      <c r="D60" s="350">
        <f>(VLOOKUP(D59,A99:B128,2,FALSE))</f>
        <v>9</v>
      </c>
      <c r="E60" s="351" t="s">
        <v>200</v>
      </c>
      <c r="F60" s="333"/>
      <c r="G60" s="333"/>
      <c r="H60" s="333"/>
      <c r="I60" s="333"/>
      <c r="J60" s="447"/>
      <c r="K60" s="34"/>
      <c r="L60" s="35"/>
      <c r="M60" s="37"/>
      <c r="N60" s="37"/>
      <c r="O60" s="37"/>
      <c r="P60" s="37"/>
      <c r="Q60" s="37"/>
    </row>
    <row r="61" spans="1:30">
      <c r="A61" s="455" t="s">
        <v>388</v>
      </c>
      <c r="B61" s="456"/>
      <c r="C61" s="457"/>
      <c r="D61" s="350">
        <f>D56+D48</f>
        <v>5787.2799397448171</v>
      </c>
      <c r="E61" s="351" t="s">
        <v>28</v>
      </c>
      <c r="F61" s="333"/>
      <c r="G61" s="333"/>
      <c r="H61" s="333"/>
      <c r="I61" s="333"/>
      <c r="J61" s="447"/>
      <c r="K61" s="34"/>
      <c r="L61" s="37"/>
      <c r="M61" s="37"/>
      <c r="O61" s="37"/>
      <c r="P61" s="37"/>
      <c r="Q61" s="37"/>
    </row>
    <row r="62" spans="1:30" ht="16.5" customHeight="1">
      <c r="A62" s="443" t="s">
        <v>956</v>
      </c>
      <c r="B62" s="459"/>
      <c r="C62" s="460"/>
      <c r="D62" s="444">
        <f>D8*((J70-1)/J70)</f>
        <v>12527.81922941815</v>
      </c>
      <c r="E62" s="442" t="s">
        <v>28</v>
      </c>
      <c r="F62" s="333"/>
      <c r="G62" s="333"/>
      <c r="H62" s="333"/>
      <c r="I62" s="333"/>
      <c r="J62" s="447"/>
      <c r="K62" s="34"/>
      <c r="L62" s="37"/>
      <c r="M62" s="37"/>
      <c r="N62" s="37"/>
      <c r="O62" s="37"/>
      <c r="P62" s="37"/>
      <c r="Q62" s="37"/>
    </row>
    <row r="63" spans="1:30" ht="16.5" customHeight="1">
      <c r="A63" s="455" t="s">
        <v>690</v>
      </c>
      <c r="B63" s="456"/>
      <c r="C63" s="457"/>
      <c r="D63" s="350" t="str">
        <f>(VLOOKUP(D59,A99:D128,4,FALSE))</f>
        <v>MCS HP0227/02</v>
      </c>
      <c r="E63" s="351"/>
      <c r="F63" s="333"/>
      <c r="G63" s="333"/>
      <c r="H63" s="333"/>
      <c r="I63" s="333"/>
      <c r="J63" s="447"/>
      <c r="K63" s="34"/>
      <c r="L63" s="37"/>
      <c r="M63" s="37"/>
      <c r="N63" s="37"/>
      <c r="O63" s="37"/>
      <c r="P63" s="37"/>
      <c r="Q63" s="37"/>
    </row>
    <row r="64" spans="1:30" ht="15" thickBot="1">
      <c r="A64" s="584"/>
      <c r="B64" s="349"/>
      <c r="C64" s="349"/>
      <c r="D64" s="349"/>
      <c r="E64" s="349"/>
      <c r="F64" s="349"/>
      <c r="G64" s="349"/>
      <c r="H64" s="349"/>
      <c r="I64" s="349"/>
      <c r="J64" s="448"/>
      <c r="K64" s="36"/>
    </row>
    <row r="65" spans="1:18" ht="15" customHeight="1">
      <c r="A65" s="38"/>
      <c r="B65" s="57"/>
      <c r="C65" s="58"/>
      <c r="D65" s="35"/>
      <c r="E65" s="35"/>
      <c r="F65" s="35"/>
      <c r="G65" s="35"/>
      <c r="H65" s="35"/>
      <c r="I65" s="35"/>
      <c r="J65" s="35"/>
      <c r="K65" s="35"/>
    </row>
    <row r="66" spans="1:18" hidden="1"/>
    <row r="67" spans="1:18" ht="24" hidden="1" thickBot="1">
      <c r="A67" s="38" t="s">
        <v>707</v>
      </c>
      <c r="B67" s="489"/>
      <c r="C67" s="490" t="s">
        <v>710</v>
      </c>
      <c r="H67" s="55" t="s">
        <v>227</v>
      </c>
      <c r="I67" s="32"/>
      <c r="J67" s="32"/>
      <c r="K67" s="32"/>
      <c r="L67" s="32"/>
      <c r="M67" s="32"/>
      <c r="N67" s="32"/>
      <c r="O67" s="32"/>
      <c r="P67" s="32"/>
      <c r="Q67" s="32"/>
    </row>
    <row r="68" spans="1:18" ht="15" hidden="1" customHeight="1">
      <c r="A68" s="40" t="s">
        <v>118</v>
      </c>
      <c r="B68" s="186">
        <v>2360</v>
      </c>
      <c r="H68" s="753" t="s">
        <v>250</v>
      </c>
      <c r="I68" s="751" t="s">
        <v>253</v>
      </c>
      <c r="J68" s="542" t="s">
        <v>254</v>
      </c>
      <c r="K68" s="542" t="s">
        <v>207</v>
      </c>
      <c r="L68" s="542" t="s">
        <v>689</v>
      </c>
      <c r="M68" s="542" t="s">
        <v>26</v>
      </c>
      <c r="N68" s="542" t="s">
        <v>225</v>
      </c>
      <c r="O68" s="542" t="s">
        <v>688</v>
      </c>
      <c r="P68" s="751" t="s">
        <v>224</v>
      </c>
      <c r="R68" s="751"/>
    </row>
    <row r="69" spans="1:18" hidden="1">
      <c r="A69" s="38" t="s">
        <v>46</v>
      </c>
      <c r="B69" s="184">
        <v>2425</v>
      </c>
      <c r="H69" s="754"/>
      <c r="I69" s="752"/>
      <c r="J69" s="543"/>
      <c r="K69" s="543"/>
      <c r="L69" s="543"/>
      <c r="M69" s="543"/>
      <c r="N69" s="543"/>
      <c r="O69" s="543"/>
      <c r="P69" s="752"/>
      <c r="R69" s="752"/>
    </row>
    <row r="70" spans="1:18" hidden="1">
      <c r="A70" s="38" t="s">
        <v>51</v>
      </c>
      <c r="B70" s="184">
        <v>2388</v>
      </c>
      <c r="H70" s="59" t="s">
        <v>24</v>
      </c>
      <c r="I70" s="474">
        <v>0.15</v>
      </c>
      <c r="J70" s="49">
        <f>VLOOKUP(M1,A97:L136,HLOOKUP(M2,A97:L136,2,FALSE),FALSE)</f>
        <v>3.32</v>
      </c>
      <c r="K70" s="50">
        <f>(I70/J70)</f>
        <v>4.5180722891566265E-2</v>
      </c>
      <c r="L70" s="51">
        <f>(($D$42)*K70)+(D50*(I70/2.5))</f>
        <v>858.85419096172245</v>
      </c>
      <c r="M70" s="33"/>
      <c r="N70" s="45">
        <v>0.44500000000000001</v>
      </c>
      <c r="O70" s="52">
        <f>N77/J70</f>
        <v>0.13418072289156627</v>
      </c>
      <c r="P70" s="53">
        <f t="shared" ref="P70:P79" si="6">$B$8*O70</f>
        <v>2419.3298965085251</v>
      </c>
      <c r="R70" s="49"/>
    </row>
    <row r="71" spans="1:18" hidden="1">
      <c r="A71" s="38" t="s">
        <v>52</v>
      </c>
      <c r="B71" s="184">
        <v>1858</v>
      </c>
      <c r="H71" s="56" t="s">
        <v>193</v>
      </c>
      <c r="I71" s="474">
        <v>0.6</v>
      </c>
      <c r="J71" s="44">
        <v>0.6</v>
      </c>
      <c r="K71" s="43">
        <f>(I71/10)/J71</f>
        <v>0.1</v>
      </c>
      <c r="L71" s="47">
        <f t="shared" ref="L71:L79" si="7">$B$8*K71</f>
        <v>1803.0383533286124</v>
      </c>
      <c r="M71" s="44">
        <f t="shared" ref="M71:M79" si="8">1-($L$70/L71)</f>
        <v>0.52366282759533056</v>
      </c>
      <c r="N71" s="45">
        <v>0.26876</v>
      </c>
      <c r="O71" s="45">
        <f t="shared" ref="O71:O79" si="9">N71/(J71/100)</f>
        <v>44.793333333333329</v>
      </c>
      <c r="P71" s="46">
        <f t="shared" si="6"/>
        <v>807640.97973432974</v>
      </c>
      <c r="Q71" s="31" t="str">
        <f>H81</f>
        <v>Boiler + heat pump</v>
      </c>
      <c r="R71" s="46"/>
    </row>
    <row r="72" spans="1:18" hidden="1">
      <c r="A72" s="38" t="s">
        <v>129</v>
      </c>
      <c r="B72" s="184">
        <v>2161</v>
      </c>
      <c r="H72" s="56" t="s">
        <v>201</v>
      </c>
      <c r="I72" s="474">
        <v>0.6</v>
      </c>
      <c r="J72" s="44">
        <v>0.9</v>
      </c>
      <c r="K72" s="43">
        <f>(I72/10)/J72</f>
        <v>6.6666666666666666E-2</v>
      </c>
      <c r="L72" s="47">
        <f t="shared" si="7"/>
        <v>1202.0255688857414</v>
      </c>
      <c r="M72" s="44">
        <f t="shared" si="8"/>
        <v>0.28549424139299584</v>
      </c>
      <c r="N72" s="45">
        <v>0.26876</v>
      </c>
      <c r="O72" s="45">
        <f t="shared" si="9"/>
        <v>29.862222222222218</v>
      </c>
      <c r="P72" s="46">
        <f t="shared" si="6"/>
        <v>538427.31982288649</v>
      </c>
      <c r="Q72" s="31" t="str">
        <f>H81</f>
        <v>Boiler + heat pump</v>
      </c>
      <c r="R72" s="46"/>
    </row>
    <row r="73" spans="1:18" hidden="1">
      <c r="A73" s="38" t="s">
        <v>130</v>
      </c>
      <c r="B73" s="184">
        <v>2033</v>
      </c>
      <c r="H73" s="56" t="s">
        <v>29</v>
      </c>
      <c r="I73" s="474">
        <v>0.45</v>
      </c>
      <c r="J73" s="44">
        <v>0.9</v>
      </c>
      <c r="K73" s="43">
        <f>(I73/6.6)/J73</f>
        <v>7.575757575757576E-2</v>
      </c>
      <c r="L73" s="47">
        <f t="shared" si="7"/>
        <v>1365.9381464610701</v>
      </c>
      <c r="M73" s="44">
        <f t="shared" si="8"/>
        <v>0.37123493242583649</v>
      </c>
      <c r="N73" s="45">
        <v>0.21451999999999999</v>
      </c>
      <c r="O73" s="45">
        <f t="shared" si="9"/>
        <v>23.835555555555551</v>
      </c>
      <c r="P73" s="46">
        <f t="shared" si="6"/>
        <v>429764.20839561539</v>
      </c>
      <c r="Q73" s="31" t="str">
        <f>H82</f>
        <v>LPG+ heat pump</v>
      </c>
      <c r="R73" s="46"/>
    </row>
    <row r="74" spans="1:18" hidden="1">
      <c r="A74" s="38" t="s">
        <v>131</v>
      </c>
      <c r="B74" s="184">
        <v>2494</v>
      </c>
      <c r="H74" s="56" t="s">
        <v>40</v>
      </c>
      <c r="I74" s="474">
        <v>4.3999999999999997E-2</v>
      </c>
      <c r="J74" s="44">
        <v>0.83499999999999996</v>
      </c>
      <c r="K74" s="43">
        <f t="shared" ref="K74:K79" si="10">(I74)/J74</f>
        <v>5.2694610778443111E-2</v>
      </c>
      <c r="L74" s="47">
        <f t="shared" si="7"/>
        <v>950.10404247256213</v>
      </c>
      <c r="M74" s="44">
        <f t="shared" si="8"/>
        <v>9.6041956913865967E-2</v>
      </c>
      <c r="N74" s="45">
        <v>0.18404000000000001</v>
      </c>
      <c r="O74" s="45">
        <f t="shared" si="9"/>
        <v>22.040718562874254</v>
      </c>
      <c r="P74" s="46">
        <f t="shared" si="6"/>
        <v>397402.60903784173</v>
      </c>
      <c r="Q74" s="31" t="str">
        <f>H83</f>
        <v>Nat Gas + heat pump</v>
      </c>
      <c r="R74" s="46"/>
    </row>
    <row r="75" spans="1:18" hidden="1">
      <c r="A75" s="38" t="s">
        <v>48</v>
      </c>
      <c r="B75" s="184">
        <v>2577</v>
      </c>
      <c r="H75" s="56" t="s">
        <v>30</v>
      </c>
      <c r="I75" s="474">
        <f>I74</f>
        <v>4.3999999999999997E-2</v>
      </c>
      <c r="J75" s="44">
        <v>0.7</v>
      </c>
      <c r="K75" s="43">
        <f t="shared" si="10"/>
        <v>6.2857142857142861E-2</v>
      </c>
      <c r="L75" s="47">
        <f t="shared" si="7"/>
        <v>1133.3383935208421</v>
      </c>
      <c r="M75" s="44">
        <f t="shared" si="8"/>
        <v>0.24219086208348051</v>
      </c>
      <c r="N75" s="45">
        <v>0.18404000000000001</v>
      </c>
      <c r="O75" s="45">
        <f t="shared" si="9"/>
        <v>26.291428571428575</v>
      </c>
      <c r="P75" s="46">
        <f t="shared" si="6"/>
        <v>474044.54078085412</v>
      </c>
      <c r="Q75" s="31" t="str">
        <f>H83</f>
        <v>Nat Gas + heat pump</v>
      </c>
      <c r="R75" s="46"/>
    </row>
    <row r="76" spans="1:18" ht="15" hidden="1" thickBot="1">
      <c r="A76" s="39" t="s">
        <v>808</v>
      </c>
      <c r="B76" s="185">
        <v>1750</v>
      </c>
      <c r="H76" s="56" t="s">
        <v>1091</v>
      </c>
      <c r="I76" s="474">
        <f>I74</f>
        <v>4.3999999999999997E-2</v>
      </c>
      <c r="J76" s="44">
        <v>0.83499999999999996</v>
      </c>
      <c r="K76" s="43">
        <f t="shared" si="10"/>
        <v>5.2694610778443111E-2</v>
      </c>
      <c r="L76" s="47">
        <f>$B$8*K76</f>
        <v>950.10404247256213</v>
      </c>
      <c r="M76" s="44">
        <f t="shared" si="8"/>
        <v>9.6041956913865967E-2</v>
      </c>
      <c r="N76" s="45">
        <v>0.18404000000000001</v>
      </c>
      <c r="O76" s="45">
        <f t="shared" si="9"/>
        <v>22.040718562874254</v>
      </c>
      <c r="P76" s="46">
        <f t="shared" si="6"/>
        <v>397402.60903784173</v>
      </c>
      <c r="Q76" s="31" t="str">
        <f>H83</f>
        <v>Nat Gas + heat pump</v>
      </c>
      <c r="R76" s="46"/>
    </row>
    <row r="77" spans="1:18" hidden="1">
      <c r="H77" s="56" t="s">
        <v>22</v>
      </c>
      <c r="I77" s="474">
        <v>0.15</v>
      </c>
      <c r="J77" s="44">
        <v>1</v>
      </c>
      <c r="K77" s="43">
        <f t="shared" si="10"/>
        <v>0.15</v>
      </c>
      <c r="L77" s="47">
        <f t="shared" si="7"/>
        <v>2704.5575299929183</v>
      </c>
      <c r="M77" s="44">
        <f t="shared" si="8"/>
        <v>0.68244188506355363</v>
      </c>
      <c r="N77" s="45">
        <v>0.44547999999999999</v>
      </c>
      <c r="O77" s="45">
        <f t="shared" si="9"/>
        <v>44.547999999999995</v>
      </c>
      <c r="P77" s="46">
        <f t="shared" si="6"/>
        <v>803217.52564083016</v>
      </c>
      <c r="R77" s="46"/>
    </row>
    <row r="78" spans="1:18" hidden="1">
      <c r="H78" s="56" t="s">
        <v>21</v>
      </c>
      <c r="I78" s="474">
        <v>0.06</v>
      </c>
      <c r="J78" s="44">
        <v>1</v>
      </c>
      <c r="K78" s="43">
        <f t="shared" si="10"/>
        <v>0.06</v>
      </c>
      <c r="L78" s="47">
        <f t="shared" si="7"/>
        <v>1081.8230119971674</v>
      </c>
      <c r="M78" s="44">
        <f t="shared" si="8"/>
        <v>0.2061047126588843</v>
      </c>
      <c r="N78" s="45">
        <v>0.44547999999999999</v>
      </c>
      <c r="O78" s="45">
        <f t="shared" si="9"/>
        <v>44.547999999999995</v>
      </c>
      <c r="P78" s="46">
        <f t="shared" si="6"/>
        <v>803217.52564083016</v>
      </c>
      <c r="R78" s="46"/>
    </row>
    <row r="79" spans="1:18" hidden="1">
      <c r="H79" s="56" t="s">
        <v>23</v>
      </c>
      <c r="I79" s="474">
        <v>5.3999999999999999E-2</v>
      </c>
      <c r="J79" s="44">
        <v>0.5</v>
      </c>
      <c r="K79" s="43">
        <f t="shared" si="10"/>
        <v>0.108</v>
      </c>
      <c r="L79" s="47">
        <f t="shared" si="7"/>
        <v>1947.2814215949013</v>
      </c>
      <c r="M79" s="44">
        <f t="shared" si="8"/>
        <v>0.55894706258826909</v>
      </c>
      <c r="N79" s="45">
        <v>0.31303999999999998</v>
      </c>
      <c r="O79" s="45">
        <f t="shared" si="9"/>
        <v>62.607999999999997</v>
      </c>
      <c r="P79" s="46">
        <f t="shared" si="6"/>
        <v>1128846.2522519776</v>
      </c>
      <c r="R79" s="46"/>
    </row>
    <row r="80" spans="1:18" ht="26.25" hidden="1" customHeight="1" thickBot="1">
      <c r="H80" s="210" t="s">
        <v>1024</v>
      </c>
      <c r="I80" s="210"/>
      <c r="J80" s="210"/>
      <c r="K80" s="211" t="s">
        <v>735</v>
      </c>
      <c r="L80" s="211"/>
      <c r="M80" s="211"/>
      <c r="N80" s="211" t="s">
        <v>208</v>
      </c>
      <c r="O80" s="212" t="s">
        <v>226</v>
      </c>
      <c r="P80" s="167"/>
      <c r="R80" s="213"/>
    </row>
    <row r="81" spans="1:30" ht="15" hidden="1" customHeight="1" thickBot="1">
      <c r="D81" s="35"/>
      <c r="E81" s="35"/>
      <c r="F81" s="35"/>
      <c r="G81" s="35"/>
      <c r="H81" s="191" t="s">
        <v>958</v>
      </c>
      <c r="I81" s="192">
        <f>((D8/B8)*K70)+((F8/B8*K71))</f>
        <v>4.4923520941833169E-2</v>
      </c>
      <c r="J81" s="193"/>
      <c r="K81" s="194">
        <f>K71</f>
        <v>0.1</v>
      </c>
      <c r="L81" s="195">
        <f>N81+O81</f>
        <v>809.98831224686307</v>
      </c>
      <c r="M81" s="196">
        <f>1-($L$70/L81)</f>
        <v>-6.0329115835397795E-2</v>
      </c>
      <c r="N81" s="197">
        <f>($D$8*K70)+I55</f>
        <v>809.98831224686307</v>
      </c>
      <c r="O81" s="198">
        <f>$F$8*K81</f>
        <v>0</v>
      </c>
      <c r="P81" s="190">
        <f>(($D$8*O70)+(($F$8))*O71)</f>
        <v>2405.5572889315504</v>
      </c>
      <c r="R81" s="46"/>
    </row>
    <row r="82" spans="1:30" ht="15" hidden="1" thickBot="1">
      <c r="C82" s="35"/>
      <c r="E82" s="35"/>
      <c r="F82" s="35"/>
      <c r="G82" s="35"/>
      <c r="H82" s="56" t="s">
        <v>251</v>
      </c>
      <c r="I82" s="192">
        <f>((D8/B8)*K70)+((F8/B8*K73))</f>
        <v>4.4923520941833169E-2</v>
      </c>
      <c r="J82" s="42"/>
      <c r="K82" s="41">
        <f>K73</f>
        <v>7.575757575757576E-2</v>
      </c>
      <c r="L82" s="120">
        <f>N82+O82</f>
        <v>809.98831224686307</v>
      </c>
      <c r="M82" s="44">
        <f>1-($L$70/L82)</f>
        <v>-6.0329115835397795E-2</v>
      </c>
      <c r="N82" s="51">
        <f>($D$8*K70)+I55</f>
        <v>809.98831224686307</v>
      </c>
      <c r="O82" s="199">
        <f>$F$8*K82</f>
        <v>0</v>
      </c>
      <c r="P82" s="190">
        <f>(($D$8*O70)+(($F$8))*O73)</f>
        <v>2405.5572889315504</v>
      </c>
      <c r="R82" s="46"/>
    </row>
    <row r="83" spans="1:30" hidden="1">
      <c r="C83" s="35"/>
      <c r="D83" s="35"/>
      <c r="E83" s="35"/>
      <c r="F83" s="35"/>
      <c r="G83" s="35"/>
      <c r="H83" s="56" t="s">
        <v>252</v>
      </c>
      <c r="I83" s="192">
        <f>((D8/B8)*K70)+((F8/B8*K75))</f>
        <v>4.4923520941833169E-2</v>
      </c>
      <c r="J83" s="42"/>
      <c r="K83" s="41">
        <f>K75</f>
        <v>6.2857142857142861E-2</v>
      </c>
      <c r="L83" s="120">
        <f>N83+O83</f>
        <v>809.98831224686307</v>
      </c>
      <c r="M83" s="44">
        <f>1-($L$70/L83)</f>
        <v>-6.0329115835397795E-2</v>
      </c>
      <c r="N83" s="51">
        <f>($D$8*K70)+I55</f>
        <v>809.98831224686307</v>
      </c>
      <c r="O83" s="199">
        <f>$F$8*K83</f>
        <v>0</v>
      </c>
      <c r="P83" s="190">
        <f>(($D$8*O70)+(($F$8))*O75)</f>
        <v>2405.5572889315504</v>
      </c>
    </row>
    <row r="84" spans="1:30" hidden="1">
      <c r="C84" s="35"/>
      <c r="D84" s="35"/>
      <c r="E84" s="35"/>
      <c r="F84" s="35"/>
      <c r="G84" s="35"/>
      <c r="H84" s="56"/>
      <c r="I84" s="580"/>
      <c r="J84" s="42"/>
      <c r="K84" s="41"/>
      <c r="L84" s="120"/>
      <c r="M84" s="44"/>
      <c r="N84" s="51"/>
      <c r="O84" s="581"/>
      <c r="P84" s="190"/>
    </row>
    <row r="85" spans="1:30" hidden="1">
      <c r="A85" s="208"/>
      <c r="B85" s="208"/>
      <c r="C85" s="209"/>
      <c r="D85" s="209"/>
      <c r="E85" s="209"/>
      <c r="F85" s="209"/>
      <c r="G85" s="209"/>
      <c r="H85" s="59" t="s">
        <v>24</v>
      </c>
      <c r="I85" s="474">
        <v>0.14000000000000001</v>
      </c>
      <c r="J85" s="49">
        <f>J70</f>
        <v>3.32</v>
      </c>
      <c r="K85" s="50">
        <f>K70</f>
        <v>4.5180722891566265E-2</v>
      </c>
      <c r="L85" s="51">
        <f>L70</f>
        <v>858.85419096172245</v>
      </c>
      <c r="M85" s="33"/>
      <c r="N85" s="45">
        <f>N70</f>
        <v>0.44500000000000001</v>
      </c>
      <c r="O85" s="52"/>
      <c r="P85" s="53"/>
      <c r="R85" s="49"/>
      <c r="S85" s="208"/>
      <c r="T85" s="208"/>
      <c r="U85" s="208"/>
      <c r="V85" s="208"/>
      <c r="W85" s="208"/>
      <c r="X85" s="208"/>
    </row>
    <row r="86" spans="1:30" hidden="1">
      <c r="A86" s="208"/>
      <c r="B86" s="208"/>
      <c r="C86" s="208"/>
      <c r="D86" s="208"/>
      <c r="E86" s="208"/>
      <c r="F86" s="208"/>
      <c r="G86" s="208"/>
      <c r="H86" s="208"/>
      <c r="I86" s="208"/>
      <c r="J86" s="208"/>
      <c r="K86" s="208"/>
      <c r="L86" s="208"/>
      <c r="M86" s="208"/>
      <c r="N86" s="208"/>
      <c r="O86" s="208"/>
      <c r="P86" s="208"/>
      <c r="Q86" s="208"/>
      <c r="R86" s="208"/>
      <c r="S86" s="208"/>
      <c r="T86" s="208"/>
      <c r="U86" s="208"/>
      <c r="V86" s="208"/>
      <c r="W86" s="208"/>
      <c r="X86" s="208"/>
    </row>
    <row r="87" spans="1:30" s="19" customFormat="1" ht="12.75" hidden="1" customHeight="1">
      <c r="A87" s="491"/>
      <c r="B87" s="492"/>
      <c r="C87" s="492"/>
      <c r="D87" s="492"/>
      <c r="E87" s="492"/>
      <c r="F87" s="173"/>
      <c r="G87" s="173"/>
      <c r="H87" s="209"/>
      <c r="I87" s="208"/>
      <c r="J87" s="208"/>
      <c r="K87" s="208"/>
      <c r="L87" s="208"/>
      <c r="M87" s="208"/>
      <c r="N87" s="208"/>
      <c r="O87" s="208"/>
      <c r="P87" s="208"/>
      <c r="Q87" s="208"/>
      <c r="R87" s="208"/>
      <c r="S87" s="173"/>
      <c r="T87" s="173"/>
      <c r="U87" s="208"/>
      <c r="V87" s="208"/>
      <c r="W87" s="208"/>
      <c r="X87" s="208"/>
      <c r="Y87" s="183"/>
      <c r="Z87" s="183"/>
      <c r="AA87" s="181"/>
      <c r="AB87" s="181"/>
      <c r="AC87" s="181"/>
      <c r="AD87" s="181"/>
    </row>
    <row r="88" spans="1:30" s="19" customFormat="1" ht="15" hidden="1">
      <c r="A88" s="492"/>
      <c r="B88" s="493"/>
      <c r="C88" s="493"/>
      <c r="D88" s="493"/>
      <c r="E88" s="493"/>
      <c r="F88" s="493"/>
      <c r="G88" s="493"/>
      <c r="H88" s="208"/>
      <c r="I88" s="208"/>
      <c r="J88" s="208"/>
      <c r="K88" s="208"/>
      <c r="L88" s="208"/>
      <c r="M88" s="208"/>
      <c r="N88" s="208"/>
      <c r="O88" s="208"/>
      <c r="P88" s="208"/>
      <c r="Q88" s="208"/>
      <c r="R88" s="173"/>
      <c r="S88" s="173"/>
      <c r="T88" s="173"/>
      <c r="U88" s="208"/>
      <c r="V88" s="208"/>
      <c r="W88" s="208"/>
      <c r="X88" s="208"/>
      <c r="Y88" s="183"/>
      <c r="Z88" s="183"/>
      <c r="AA88" s="181"/>
      <c r="AB88" s="181"/>
      <c r="AC88" s="181"/>
      <c r="AD88" s="181"/>
    </row>
    <row r="89" spans="1:30" s="19" customFormat="1" ht="15" hidden="1">
      <c r="A89" s="492"/>
      <c r="B89" s="493"/>
      <c r="C89" s="493"/>
      <c r="D89" s="493"/>
      <c r="E89" s="493"/>
      <c r="F89" s="493"/>
      <c r="G89" s="493"/>
      <c r="H89" s="173"/>
      <c r="I89" s="492"/>
      <c r="J89" s="492"/>
      <c r="K89" s="492"/>
      <c r="L89" s="492"/>
      <c r="M89" s="492"/>
      <c r="N89" s="492"/>
      <c r="O89" s="208"/>
      <c r="P89" s="208"/>
      <c r="Q89" s="173"/>
      <c r="R89" s="173"/>
      <c r="S89" s="173"/>
      <c r="T89" s="173"/>
      <c r="U89" s="208"/>
      <c r="V89" s="208"/>
      <c r="W89" s="208"/>
      <c r="X89" s="208"/>
      <c r="Y89" s="183"/>
      <c r="Z89" s="183"/>
      <c r="AA89" s="181"/>
      <c r="AB89" s="181"/>
      <c r="AC89" s="181"/>
      <c r="AD89" s="181"/>
    </row>
    <row r="90" spans="1:30" s="19" customFormat="1" ht="15" hidden="1">
      <c r="A90" s="492"/>
      <c r="B90" s="493"/>
      <c r="C90" s="493"/>
      <c r="D90" s="493"/>
      <c r="E90" s="493"/>
      <c r="F90" s="493"/>
      <c r="G90" s="493"/>
      <c r="H90" s="493"/>
      <c r="I90" s="173"/>
      <c r="J90" s="173"/>
      <c r="K90" s="173"/>
      <c r="L90" s="173"/>
      <c r="M90" s="173"/>
      <c r="N90" s="173"/>
      <c r="O90" s="173"/>
      <c r="P90" s="173"/>
      <c r="Q90" s="173"/>
      <c r="R90" s="173"/>
      <c r="S90" s="173"/>
      <c r="T90" s="173"/>
      <c r="U90" s="208"/>
      <c r="V90" s="208"/>
      <c r="W90" s="208"/>
      <c r="X90" s="208"/>
      <c r="Y90" s="183"/>
      <c r="Z90" s="183"/>
      <c r="AA90" s="181"/>
      <c r="AB90" s="181"/>
      <c r="AC90" s="181"/>
      <c r="AD90" s="181"/>
    </row>
    <row r="91" spans="1:30" s="19" customFormat="1" ht="15" hidden="1">
      <c r="A91" s="492"/>
      <c r="B91" s="493"/>
      <c r="C91" s="493"/>
      <c r="D91" s="493"/>
      <c r="E91" s="493"/>
      <c r="F91" s="493"/>
      <c r="G91" s="493"/>
      <c r="H91" s="493"/>
      <c r="I91" s="173"/>
      <c r="J91" s="173"/>
      <c r="K91" s="173"/>
      <c r="L91" s="173"/>
      <c r="M91" s="173"/>
      <c r="N91" s="173"/>
      <c r="O91" s="173"/>
      <c r="P91" s="173"/>
      <c r="Q91" s="173"/>
      <c r="R91" s="173"/>
      <c r="S91" s="173"/>
      <c r="T91" s="173"/>
      <c r="U91" s="208"/>
      <c r="V91" s="208"/>
      <c r="W91" s="208"/>
      <c r="X91" s="208"/>
      <c r="Y91" s="183"/>
      <c r="Z91" s="183"/>
      <c r="AA91" s="181"/>
      <c r="AB91" s="181"/>
      <c r="AC91" s="181"/>
      <c r="AD91" s="181"/>
    </row>
    <row r="92" spans="1:30" s="19" customFormat="1" ht="15" hidden="1">
      <c r="A92" s="492"/>
      <c r="B92" s="493"/>
      <c r="C92" s="493"/>
      <c r="D92" s="493"/>
      <c r="E92" s="493"/>
      <c r="F92" s="493"/>
      <c r="G92" s="493"/>
      <c r="H92" s="493"/>
      <c r="I92" s="493"/>
      <c r="J92" s="493"/>
      <c r="K92" s="493"/>
      <c r="L92" s="173"/>
      <c r="M92" s="173"/>
      <c r="N92" s="173"/>
      <c r="O92" s="173"/>
      <c r="P92" s="173"/>
      <c r="Q92" s="173"/>
      <c r="R92" s="173"/>
      <c r="S92" s="173"/>
      <c r="T92" s="173"/>
      <c r="U92" s="208"/>
      <c r="V92" s="208"/>
      <c r="W92" s="208"/>
      <c r="X92" s="208"/>
      <c r="Y92" s="183"/>
      <c r="Z92" s="183"/>
      <c r="AA92" s="181"/>
      <c r="AB92" s="181"/>
      <c r="AC92" s="181"/>
      <c r="AD92" s="181"/>
    </row>
    <row r="93" spans="1:30" s="19" customFormat="1" ht="15" hidden="1">
      <c r="A93" s="492"/>
      <c r="B93" s="493"/>
      <c r="C93" s="493"/>
      <c r="D93" s="493"/>
      <c r="E93" s="493"/>
      <c r="F93" s="493"/>
      <c r="G93" s="493"/>
      <c r="H93" s="493"/>
      <c r="I93" s="493"/>
      <c r="J93" s="493"/>
      <c r="K93" s="493"/>
      <c r="L93" s="173"/>
      <c r="M93" s="173"/>
      <c r="N93" s="173"/>
      <c r="O93" s="173"/>
      <c r="P93" s="173"/>
      <c r="Q93" s="173"/>
      <c r="R93" s="173"/>
      <c r="S93" s="173"/>
      <c r="T93" s="173"/>
      <c r="U93" s="208"/>
      <c r="V93" s="208"/>
      <c r="W93" s="208"/>
      <c r="X93" s="208"/>
      <c r="Y93" s="183"/>
      <c r="Z93" s="183"/>
      <c r="AA93" s="181"/>
      <c r="AB93" s="181"/>
      <c r="AC93" s="181"/>
      <c r="AD93" s="181"/>
    </row>
    <row r="94" spans="1:30" s="19" customFormat="1" ht="15" hidden="1">
      <c r="A94" s="173"/>
      <c r="B94" s="493"/>
      <c r="C94" s="493"/>
      <c r="D94" s="493"/>
      <c r="E94" s="493"/>
      <c r="F94" s="493"/>
      <c r="G94" s="493"/>
      <c r="H94" s="493"/>
      <c r="I94" s="493"/>
      <c r="J94" s="493"/>
      <c r="K94" s="493"/>
      <c r="L94" s="173"/>
      <c r="M94" s="173"/>
      <c r="N94" s="173"/>
      <c r="O94" s="173"/>
      <c r="P94" s="173"/>
      <c r="Q94" s="173"/>
      <c r="R94" s="173"/>
      <c r="S94" s="173"/>
      <c r="T94" s="173"/>
      <c r="U94" s="208"/>
      <c r="V94" s="208"/>
      <c r="W94" s="208"/>
      <c r="X94" s="208"/>
      <c r="Y94" s="183"/>
      <c r="Z94" s="183"/>
      <c r="AA94" s="181"/>
      <c r="AB94" s="181"/>
      <c r="AC94" s="181"/>
      <c r="AD94" s="181"/>
    </row>
    <row r="95" spans="1:30" s="19" customFormat="1" ht="15" hidden="1">
      <c r="A95" s="173"/>
      <c r="B95" s="494"/>
      <c r="C95" s="494"/>
      <c r="D95" s="494"/>
      <c r="E95" s="494"/>
      <c r="F95" s="494"/>
      <c r="G95" s="494"/>
      <c r="H95" s="493"/>
      <c r="I95" s="493"/>
      <c r="J95" s="493"/>
      <c r="K95" s="493"/>
      <c r="L95" s="173"/>
      <c r="M95" s="173"/>
      <c r="N95" s="173"/>
      <c r="O95" s="173"/>
      <c r="P95" s="173"/>
      <c r="Q95" s="173"/>
      <c r="R95" s="173"/>
      <c r="S95" s="208"/>
      <c r="T95" s="208"/>
      <c r="U95" s="208"/>
      <c r="V95" s="208"/>
      <c r="W95" s="208"/>
      <c r="X95" s="208"/>
      <c r="Y95" s="183"/>
      <c r="Z95" s="183"/>
      <c r="AA95" s="181"/>
      <c r="AB95" s="181"/>
      <c r="AC95" s="181"/>
      <c r="AD95" s="181"/>
    </row>
    <row r="96" spans="1:30" s="19" customFormat="1" ht="15" hidden="1">
      <c r="A96" s="173"/>
      <c r="B96" s="494"/>
      <c r="C96" s="494"/>
      <c r="D96" s="494"/>
      <c r="E96" s="173" t="s">
        <v>885</v>
      </c>
      <c r="F96" s="494"/>
      <c r="G96" s="494"/>
      <c r="H96" s="494"/>
      <c r="I96" s="493"/>
      <c r="J96" s="493"/>
      <c r="K96" s="181"/>
      <c r="L96" s="493"/>
      <c r="M96" s="173"/>
      <c r="N96" s="173"/>
      <c r="O96" s="173"/>
      <c r="P96" s="173"/>
      <c r="Q96" s="173"/>
      <c r="R96" s="173"/>
      <c r="S96" s="208"/>
      <c r="T96" s="208"/>
      <c r="U96" s="208"/>
      <c r="V96" s="208"/>
      <c r="W96" s="208"/>
      <c r="X96" s="208"/>
      <c r="Y96" s="208"/>
      <c r="Z96" s="183"/>
      <c r="AA96" s="183"/>
      <c r="AB96" s="181"/>
      <c r="AC96" s="181"/>
      <c r="AD96" s="181"/>
    </row>
    <row r="97" spans="1:30" s="19" customFormat="1" ht="15" hidden="1">
      <c r="A97" s="495" t="s">
        <v>691</v>
      </c>
      <c r="B97" s="495" t="s">
        <v>886</v>
      </c>
      <c r="C97" s="495" t="s">
        <v>887</v>
      </c>
      <c r="D97" s="495" t="s">
        <v>692</v>
      </c>
      <c r="E97" s="495">
        <v>80</v>
      </c>
      <c r="F97" s="495">
        <v>75</v>
      </c>
      <c r="G97" s="495">
        <v>70</v>
      </c>
      <c r="H97" s="495">
        <v>65</v>
      </c>
      <c r="I97" s="495">
        <v>60</v>
      </c>
      <c r="J97" s="225">
        <v>55</v>
      </c>
      <c r="K97" s="225">
        <v>50</v>
      </c>
      <c r="L97" s="225">
        <v>45</v>
      </c>
      <c r="M97" s="225">
        <v>40</v>
      </c>
      <c r="N97" s="225">
        <v>35</v>
      </c>
      <c r="O97" s="493" t="s">
        <v>906</v>
      </c>
      <c r="P97" s="493" t="s">
        <v>1083</v>
      </c>
      <c r="R97" s="181"/>
      <c r="S97" s="181"/>
      <c r="T97" s="181"/>
      <c r="U97" s="181"/>
      <c r="V97" s="181"/>
      <c r="W97" s="181"/>
      <c r="X97" s="181"/>
      <c r="Y97" s="181"/>
      <c r="Z97" s="181"/>
      <c r="AA97" s="181"/>
      <c r="AB97" s="181"/>
      <c r="AC97" s="181"/>
      <c r="AD97" s="181"/>
    </row>
    <row r="98" spans="1:30" s="19" customFormat="1" ht="15" hidden="1">
      <c r="A98" s="623"/>
      <c r="B98" s="623"/>
      <c r="C98" s="623"/>
      <c r="D98" s="623"/>
      <c r="E98" s="19">
        <v>5</v>
      </c>
      <c r="F98" s="19">
        <v>6</v>
      </c>
      <c r="G98" s="19">
        <v>7</v>
      </c>
      <c r="H98" s="19">
        <v>8</v>
      </c>
      <c r="I98" s="19">
        <v>9</v>
      </c>
      <c r="J98" s="624">
        <v>10</v>
      </c>
      <c r="K98" s="624">
        <v>11</v>
      </c>
      <c r="L98" s="624">
        <v>12</v>
      </c>
      <c r="M98" s="624">
        <v>13</v>
      </c>
      <c r="N98" s="624">
        <v>14</v>
      </c>
      <c r="O98" s="493"/>
      <c r="P98" s="493"/>
      <c r="R98" s="181"/>
      <c r="S98" s="181"/>
      <c r="T98" s="181"/>
      <c r="U98" s="181"/>
      <c r="V98" s="181"/>
      <c r="W98" s="181"/>
      <c r="X98" s="181"/>
      <c r="Y98" s="181"/>
      <c r="Z98" s="181"/>
      <c r="AA98" s="181"/>
      <c r="AB98" s="181"/>
      <c r="AC98" s="181"/>
      <c r="AD98" s="181"/>
    </row>
    <row r="99" spans="1:30" s="19" customFormat="1" ht="15" hidden="1">
      <c r="A99" s="225" t="s">
        <v>812</v>
      </c>
      <c r="B99" s="496">
        <v>5</v>
      </c>
      <c r="C99" s="225">
        <v>4.04</v>
      </c>
      <c r="D99" s="497" t="s">
        <v>822</v>
      </c>
      <c r="J99" s="498">
        <v>2.78</v>
      </c>
      <c r="K99" s="498">
        <v>3.22</v>
      </c>
      <c r="L99" s="498">
        <v>3.66</v>
      </c>
      <c r="M99" s="498">
        <v>3.97</v>
      </c>
      <c r="N99" s="498">
        <v>4.2699999999999996</v>
      </c>
      <c r="O99" s="499">
        <v>7.6300000000000007E-2</v>
      </c>
      <c r="P99" s="499">
        <v>0.10199999999999999</v>
      </c>
      <c r="R99" s="494"/>
      <c r="S99" s="208"/>
      <c r="T99" s="208"/>
      <c r="U99" s="208"/>
      <c r="V99" s="208"/>
      <c r="W99" s="208"/>
      <c r="X99" s="208"/>
      <c r="Y99" s="208"/>
      <c r="Z99" s="183"/>
      <c r="AA99" s="183"/>
      <c r="AB99" s="181"/>
      <c r="AC99" s="181"/>
      <c r="AD99" s="181"/>
    </row>
    <row r="100" spans="1:30" s="19" customFormat="1" ht="15" hidden="1">
      <c r="A100" s="225" t="s">
        <v>85</v>
      </c>
      <c r="B100" s="496">
        <v>9</v>
      </c>
      <c r="C100" s="225">
        <v>6.48</v>
      </c>
      <c r="D100" s="497" t="s">
        <v>823</v>
      </c>
      <c r="J100" s="498">
        <v>3</v>
      </c>
      <c r="K100" s="498">
        <v>3.32</v>
      </c>
      <c r="L100" s="498">
        <v>3.63</v>
      </c>
      <c r="M100" s="498">
        <v>3.88</v>
      </c>
      <c r="N100" s="498">
        <v>4.13</v>
      </c>
      <c r="O100" s="499">
        <v>7.6300000000000007E-2</v>
      </c>
      <c r="P100" s="499">
        <v>0.10199999999999999</v>
      </c>
      <c r="R100" s="494"/>
      <c r="S100" s="208"/>
      <c r="T100" s="173"/>
      <c r="U100" s="173"/>
      <c r="V100" s="173"/>
      <c r="W100" s="173"/>
      <c r="X100" s="173"/>
      <c r="Y100" s="173"/>
      <c r="Z100" s="181"/>
      <c r="AA100" s="181"/>
      <c r="AB100" s="181"/>
      <c r="AC100" s="181"/>
      <c r="AD100" s="181"/>
    </row>
    <row r="101" spans="1:30" s="19" customFormat="1" ht="15" hidden="1">
      <c r="A101" s="225" t="s">
        <v>693</v>
      </c>
      <c r="B101" s="496">
        <v>12</v>
      </c>
      <c r="C101" s="496"/>
      <c r="D101" s="497" t="s">
        <v>824</v>
      </c>
      <c r="J101" s="498">
        <v>2.87</v>
      </c>
      <c r="K101" s="498">
        <v>3.24</v>
      </c>
      <c r="L101" s="498">
        <v>3.62</v>
      </c>
      <c r="M101" s="498">
        <v>4</v>
      </c>
      <c r="N101" s="498">
        <v>4.3899999999999997</v>
      </c>
      <c r="O101" s="499">
        <v>7.6300000000000007E-2</v>
      </c>
      <c r="P101" s="499">
        <v>0.10199999999999999</v>
      </c>
      <c r="R101" s="494"/>
      <c r="S101" s="173"/>
      <c r="T101" s="173"/>
      <c r="U101" s="173"/>
      <c r="V101" s="173"/>
      <c r="W101" s="173"/>
      <c r="X101" s="173"/>
      <c r="Y101" s="173"/>
      <c r="Z101" s="181"/>
      <c r="AA101" s="181"/>
      <c r="AB101" s="181"/>
      <c r="AC101" s="181"/>
      <c r="AD101" s="181"/>
    </row>
    <row r="102" spans="1:30" s="19" customFormat="1" ht="15" hidden="1">
      <c r="A102" s="225" t="s">
        <v>680</v>
      </c>
      <c r="B102" s="496">
        <v>14</v>
      </c>
      <c r="C102" s="496"/>
      <c r="D102" s="497" t="s">
        <v>825</v>
      </c>
      <c r="J102" s="498">
        <v>2.68</v>
      </c>
      <c r="K102" s="498">
        <v>3.17</v>
      </c>
      <c r="L102" s="498">
        <v>3.66</v>
      </c>
      <c r="M102" s="498">
        <v>3.82</v>
      </c>
      <c r="N102" s="498">
        <v>3.98</v>
      </c>
      <c r="O102" s="499">
        <v>7.6300000000000007E-2</v>
      </c>
      <c r="P102" s="499">
        <v>0.10199999999999999</v>
      </c>
      <c r="R102" s="494"/>
      <c r="S102" s="173"/>
      <c r="T102" s="173"/>
      <c r="U102" s="173"/>
      <c r="V102" s="173"/>
      <c r="W102" s="173"/>
      <c r="X102" s="173"/>
      <c r="Y102" s="173"/>
      <c r="Z102" s="181"/>
      <c r="AA102" s="181"/>
      <c r="AB102" s="181"/>
      <c r="AC102" s="181"/>
      <c r="AD102" s="181"/>
    </row>
    <row r="103" spans="1:30" s="19" customFormat="1" ht="15" hidden="1">
      <c r="A103" s="225" t="s">
        <v>202</v>
      </c>
      <c r="B103" s="496">
        <v>16</v>
      </c>
      <c r="C103" s="496">
        <v>11.42</v>
      </c>
      <c r="D103" s="497" t="s">
        <v>883</v>
      </c>
      <c r="J103" s="498">
        <v>2.5</v>
      </c>
      <c r="K103" s="498">
        <v>2.99</v>
      </c>
      <c r="L103" s="498">
        <v>3.49</v>
      </c>
      <c r="M103" s="498">
        <v>3.71</v>
      </c>
      <c r="N103" s="498">
        <v>3.94</v>
      </c>
      <c r="O103" s="499">
        <v>7.6300000000000007E-2</v>
      </c>
      <c r="P103" s="499">
        <v>0.10199999999999999</v>
      </c>
      <c r="R103" s="494"/>
      <c r="S103" s="173"/>
      <c r="T103" s="173"/>
      <c r="U103" s="173"/>
      <c r="V103" s="173"/>
      <c r="W103" s="173"/>
      <c r="X103" s="173"/>
      <c r="Y103" s="173"/>
      <c r="Z103" s="181"/>
      <c r="AA103" s="181"/>
      <c r="AB103" s="181"/>
      <c r="AC103" s="181"/>
      <c r="AD103" s="181"/>
    </row>
    <row r="104" spans="1:30" s="19" customFormat="1" ht="15" hidden="1">
      <c r="A104" s="225" t="s">
        <v>120</v>
      </c>
      <c r="B104" s="496">
        <f>2*B100</f>
        <v>18</v>
      </c>
      <c r="C104" s="496">
        <v>12.96</v>
      </c>
      <c r="D104" s="497" t="str">
        <f t="shared" ref="D104:D105" si="11">D100</f>
        <v>MCS HP0227/02</v>
      </c>
      <c r="J104" s="498">
        <f t="shared" ref="J104:N105" si="12">J100</f>
        <v>3</v>
      </c>
      <c r="K104" s="498">
        <f t="shared" si="12"/>
        <v>3.32</v>
      </c>
      <c r="L104" s="498">
        <f t="shared" si="12"/>
        <v>3.63</v>
      </c>
      <c r="M104" s="498">
        <f t="shared" si="12"/>
        <v>3.88</v>
      </c>
      <c r="N104" s="498">
        <f t="shared" si="12"/>
        <v>4.13</v>
      </c>
      <c r="O104" s="499">
        <v>7.6300000000000007E-2</v>
      </c>
      <c r="P104" s="499">
        <v>0.10199999999999999</v>
      </c>
      <c r="R104" s="494"/>
      <c r="S104" s="173"/>
      <c r="T104" s="173"/>
      <c r="U104" s="173"/>
      <c r="V104" s="173"/>
      <c r="W104" s="173"/>
      <c r="X104" s="173"/>
      <c r="Y104" s="173"/>
      <c r="Z104" s="181"/>
      <c r="AA104" s="181"/>
      <c r="AB104" s="181"/>
      <c r="AC104" s="181"/>
      <c r="AD104" s="181"/>
    </row>
    <row r="105" spans="1:30" s="19" customFormat="1" ht="15" hidden="1">
      <c r="A105" s="225" t="s">
        <v>705</v>
      </c>
      <c r="B105" s="496">
        <f>B101*2</f>
        <v>24</v>
      </c>
      <c r="C105" s="496"/>
      <c r="D105" s="497" t="str">
        <f t="shared" si="11"/>
        <v>MCS HP0227/03</v>
      </c>
      <c r="J105" s="498">
        <f t="shared" si="12"/>
        <v>2.87</v>
      </c>
      <c r="K105" s="498">
        <f t="shared" si="12"/>
        <v>3.24</v>
      </c>
      <c r="L105" s="498">
        <f t="shared" si="12"/>
        <v>3.62</v>
      </c>
      <c r="M105" s="498">
        <f t="shared" si="12"/>
        <v>4</v>
      </c>
      <c r="N105" s="498">
        <f t="shared" si="12"/>
        <v>4.3899999999999997</v>
      </c>
      <c r="O105" s="499">
        <v>7.6300000000000007E-2</v>
      </c>
      <c r="P105" s="499">
        <v>0.10199999999999999</v>
      </c>
      <c r="R105" s="494"/>
      <c r="S105" s="173"/>
      <c r="T105" s="173"/>
      <c r="U105" s="173"/>
      <c r="V105" s="173"/>
      <c r="W105" s="173"/>
      <c r="X105" s="173"/>
      <c r="Y105" s="173"/>
      <c r="Z105" s="181"/>
      <c r="AA105" s="181"/>
      <c r="AB105" s="181"/>
      <c r="AC105" s="181"/>
      <c r="AD105" s="181"/>
    </row>
    <row r="106" spans="1:30" s="19" customFormat="1" ht="15" hidden="1">
      <c r="A106" s="225" t="s">
        <v>121</v>
      </c>
      <c r="B106" s="496">
        <f>B100+B103</f>
        <v>25</v>
      </c>
      <c r="C106" s="496">
        <v>17.899999999999999</v>
      </c>
      <c r="D106" s="497" t="s">
        <v>884</v>
      </c>
      <c r="J106" s="498">
        <f>(J100+J103)/2</f>
        <v>2.75</v>
      </c>
      <c r="K106" s="498">
        <f>(K100+K103)/2</f>
        <v>3.1550000000000002</v>
      </c>
      <c r="L106" s="498">
        <f>(L100+L103)/2</f>
        <v>3.56</v>
      </c>
      <c r="M106" s="498">
        <f>(M100+M103)/2</f>
        <v>3.7949999999999999</v>
      </c>
      <c r="N106" s="498">
        <f>(N100+N103)/2</f>
        <v>4.0350000000000001</v>
      </c>
      <c r="O106" s="499">
        <v>7.6300000000000007E-2</v>
      </c>
      <c r="P106" s="499">
        <v>0.10199999999999999</v>
      </c>
      <c r="R106" s="494"/>
      <c r="S106" s="173"/>
      <c r="T106" s="173"/>
      <c r="U106" s="173"/>
      <c r="V106" s="173"/>
      <c r="W106" s="173"/>
      <c r="X106" s="173"/>
      <c r="Y106" s="173"/>
      <c r="Z106" s="181"/>
      <c r="AA106" s="181"/>
      <c r="AB106" s="181"/>
      <c r="AC106" s="181"/>
      <c r="AD106" s="181"/>
    </row>
    <row r="107" spans="1:30" s="19" customFormat="1" ht="15" hidden="1">
      <c r="A107" s="225" t="s">
        <v>119</v>
      </c>
      <c r="B107" s="496">
        <f>2*B103</f>
        <v>32</v>
      </c>
      <c r="C107" s="496">
        <v>22.84</v>
      </c>
      <c r="D107" s="497" t="str">
        <f t="shared" ref="D107" si="13">D103</f>
        <v>MCS HP0227/05</v>
      </c>
      <c r="J107" s="498">
        <f>J103</f>
        <v>2.5</v>
      </c>
      <c r="K107" s="498">
        <f>K103</f>
        <v>2.99</v>
      </c>
      <c r="L107" s="498">
        <f>L103</f>
        <v>3.49</v>
      </c>
      <c r="M107" s="498">
        <f>M103</f>
        <v>3.71</v>
      </c>
      <c r="N107" s="498">
        <f>N103</f>
        <v>3.94</v>
      </c>
      <c r="O107" s="499">
        <v>7.6300000000000007E-2</v>
      </c>
      <c r="P107" s="499">
        <v>0.10199999999999999</v>
      </c>
      <c r="R107" s="494"/>
      <c r="S107" s="181"/>
      <c r="T107" s="181"/>
      <c r="U107" s="181"/>
      <c r="V107" s="181"/>
      <c r="W107" s="181"/>
      <c r="X107" s="181"/>
      <c r="Y107" s="181"/>
      <c r="Z107" s="181"/>
      <c r="AA107" s="181"/>
      <c r="AB107" s="181"/>
      <c r="AC107" s="181"/>
      <c r="AD107" s="181"/>
    </row>
    <row r="108" spans="1:30" s="19" customFormat="1" ht="15" hidden="1">
      <c r="A108" s="225" t="s">
        <v>811</v>
      </c>
      <c r="B108" s="496">
        <v>4</v>
      </c>
      <c r="C108" s="496"/>
      <c r="D108" s="497" t="s">
        <v>820</v>
      </c>
      <c r="J108" s="498">
        <v>3.1469999999999998</v>
      </c>
      <c r="K108" s="498">
        <v>3.490750000000002</v>
      </c>
      <c r="L108" s="498">
        <v>3.8345000000000025</v>
      </c>
      <c r="M108" s="498">
        <v>4.178250000000002</v>
      </c>
      <c r="N108" s="498">
        <v>4.5220000000000002</v>
      </c>
      <c r="O108" s="499">
        <v>7.6300000000000007E-2</v>
      </c>
      <c r="P108" s="499">
        <v>0.10199999999999999</v>
      </c>
      <c r="R108" s="494"/>
      <c r="S108" s="181"/>
      <c r="T108" s="181"/>
      <c r="U108" s="181"/>
      <c r="V108" s="181"/>
      <c r="W108" s="181"/>
      <c r="X108" s="181"/>
      <c r="Y108" s="181"/>
      <c r="Z108" s="181"/>
      <c r="AA108" s="181"/>
      <c r="AB108" s="181"/>
      <c r="AC108" s="181"/>
      <c r="AD108" s="181"/>
    </row>
    <row r="109" spans="1:30" s="19" customFormat="1" ht="15" hidden="1">
      <c r="A109" s="225" t="s">
        <v>681</v>
      </c>
      <c r="B109" s="496">
        <v>6</v>
      </c>
      <c r="C109" s="496">
        <v>4.68</v>
      </c>
      <c r="D109" s="497" t="s">
        <v>820</v>
      </c>
      <c r="J109" s="498">
        <v>3.1629999999999998</v>
      </c>
      <c r="K109" s="498">
        <v>3.506999999999997</v>
      </c>
      <c r="L109" s="498">
        <v>3.8509999999999969</v>
      </c>
      <c r="M109" s="498">
        <v>4.1949999999999976</v>
      </c>
      <c r="N109" s="498">
        <v>4.5389999999999997</v>
      </c>
      <c r="O109" s="499">
        <v>7.6300000000000007E-2</v>
      </c>
      <c r="P109" s="499">
        <v>0.10199999999999999</v>
      </c>
      <c r="R109" s="494"/>
      <c r="S109" s="181"/>
      <c r="T109" s="181"/>
      <c r="U109" s="181"/>
      <c r="V109" s="181"/>
      <c r="W109" s="181"/>
      <c r="X109" s="181"/>
      <c r="Y109" s="181"/>
      <c r="Z109" s="181"/>
      <c r="AA109" s="181"/>
      <c r="AB109" s="181"/>
      <c r="AC109" s="181"/>
      <c r="AD109" s="181"/>
    </row>
    <row r="110" spans="1:30" s="19" customFormat="1" ht="15" hidden="1">
      <c r="A110" s="225" t="s">
        <v>813</v>
      </c>
      <c r="B110" s="496">
        <v>9</v>
      </c>
      <c r="C110" s="496">
        <v>7.11</v>
      </c>
      <c r="D110" s="497" t="s">
        <v>820</v>
      </c>
      <c r="J110" s="498">
        <v>3.26</v>
      </c>
      <c r="K110" s="498">
        <v>3.5892499999999972</v>
      </c>
      <c r="L110" s="498">
        <v>3.9184999999999981</v>
      </c>
      <c r="M110" s="498">
        <v>4.247749999999999</v>
      </c>
      <c r="N110" s="498">
        <v>4.577</v>
      </c>
      <c r="O110" s="499">
        <v>7.6300000000000007E-2</v>
      </c>
      <c r="P110" s="499">
        <v>0.10199999999999999</v>
      </c>
      <c r="R110" s="494"/>
      <c r="S110" s="181"/>
      <c r="T110" s="181"/>
      <c r="U110" s="181"/>
      <c r="V110" s="181"/>
      <c r="W110" s="181"/>
      <c r="X110" s="181"/>
      <c r="Y110" s="181"/>
      <c r="Z110" s="181"/>
      <c r="AA110" s="181"/>
      <c r="AB110" s="181"/>
      <c r="AC110" s="181"/>
      <c r="AD110" s="181"/>
    </row>
    <row r="111" spans="1:30" s="19" customFormat="1" ht="15" hidden="1">
      <c r="A111" s="225" t="s">
        <v>819</v>
      </c>
      <c r="B111" s="496">
        <v>12</v>
      </c>
      <c r="C111" s="496"/>
      <c r="D111" s="497" t="s">
        <v>820</v>
      </c>
      <c r="J111" s="498">
        <v>2.8330000000000002</v>
      </c>
      <c r="K111" s="498">
        <v>3.2815000000000007</v>
      </c>
      <c r="L111" s="498">
        <v>3.7300000000000013</v>
      </c>
      <c r="M111" s="498">
        <v>4.1785000000000014</v>
      </c>
      <c r="N111" s="498">
        <v>4.6269999999999998</v>
      </c>
      <c r="O111" s="499">
        <v>7.6300000000000007E-2</v>
      </c>
      <c r="P111" s="499">
        <v>0.10199999999999999</v>
      </c>
      <c r="R111" s="494"/>
      <c r="S111" s="181"/>
      <c r="T111" s="181"/>
      <c r="U111" s="181"/>
      <c r="V111" s="181"/>
      <c r="W111" s="181"/>
      <c r="X111" s="181"/>
      <c r="Y111" s="181"/>
      <c r="Z111" s="181"/>
      <c r="AA111" s="181"/>
      <c r="AB111" s="181"/>
      <c r="AC111" s="181"/>
      <c r="AD111" s="181"/>
    </row>
    <row r="112" spans="1:30" s="183" customFormat="1" ht="15" hidden="1">
      <c r="A112" s="225" t="s">
        <v>682</v>
      </c>
      <c r="B112" s="496">
        <v>14</v>
      </c>
      <c r="C112" s="496"/>
      <c r="D112" s="497" t="s">
        <v>820</v>
      </c>
      <c r="G112" s="19"/>
      <c r="J112" s="498">
        <v>2.847</v>
      </c>
      <c r="K112" s="498">
        <v>3.17</v>
      </c>
      <c r="L112" s="498">
        <v>3.66</v>
      </c>
      <c r="M112" s="498">
        <v>3.82</v>
      </c>
      <c r="N112" s="498">
        <v>3.98</v>
      </c>
      <c r="O112" s="499">
        <v>7.6300000000000007E-2</v>
      </c>
      <c r="P112" s="499">
        <v>0.10199999999999999</v>
      </c>
      <c r="R112" s="494"/>
      <c r="S112" s="181"/>
      <c r="T112" s="181"/>
      <c r="U112" s="181"/>
      <c r="V112" s="181"/>
      <c r="W112" s="181"/>
      <c r="X112" s="181"/>
      <c r="Y112" s="181"/>
      <c r="Z112" s="181"/>
      <c r="AA112" s="181"/>
    </row>
    <row r="113" spans="1:27" s="183" customFormat="1" ht="15" hidden="1">
      <c r="A113" s="225" t="s">
        <v>683</v>
      </c>
      <c r="B113" s="496">
        <v>16</v>
      </c>
      <c r="C113" s="496">
        <v>12.11</v>
      </c>
      <c r="D113" s="497" t="s">
        <v>820</v>
      </c>
      <c r="J113" s="498">
        <v>2.8540000000000001</v>
      </c>
      <c r="K113" s="498">
        <v>3.2692499999999987</v>
      </c>
      <c r="L113" s="498">
        <v>3.684499999999999</v>
      </c>
      <c r="M113" s="498">
        <v>4.0997499999999993</v>
      </c>
      <c r="N113" s="498">
        <v>4.5149999999999997</v>
      </c>
      <c r="O113" s="499">
        <v>7.6300000000000007E-2</v>
      </c>
      <c r="P113" s="499">
        <v>0.10199999999999999</v>
      </c>
      <c r="R113" s="494"/>
      <c r="T113" s="181"/>
      <c r="U113" s="181"/>
      <c r="V113" s="181"/>
      <c r="W113" s="181"/>
      <c r="X113" s="181"/>
      <c r="Y113" s="181"/>
      <c r="Z113" s="181"/>
      <c r="AA113" s="181"/>
    </row>
    <row r="114" spans="1:27" s="183" customFormat="1" ht="15" hidden="1">
      <c r="A114" s="225" t="s">
        <v>1128</v>
      </c>
      <c r="B114" s="496">
        <v>4</v>
      </c>
      <c r="C114" s="496"/>
      <c r="D114" s="497" t="s">
        <v>1110</v>
      </c>
      <c r="J114" s="627">
        <v>3.3437747901993178</v>
      </c>
      <c r="K114" s="627">
        <v>3.7076551380658369</v>
      </c>
      <c r="L114" s="627">
        <v>4.0715354859323565</v>
      </c>
      <c r="M114" s="627">
        <v>4.396604964426821</v>
      </c>
      <c r="N114" s="627">
        <v>4.7216744429212865</v>
      </c>
      <c r="O114" s="499">
        <v>7.6300000000000007E-2</v>
      </c>
      <c r="P114" s="499">
        <v>0.10199999999999999</v>
      </c>
      <c r="R114" s="494"/>
      <c r="S114" s="181"/>
      <c r="T114" s="181"/>
      <c r="U114" s="181"/>
      <c r="V114" s="181"/>
      <c r="W114" s="181"/>
      <c r="X114" s="181"/>
      <c r="Y114" s="181"/>
      <c r="Z114" s="181"/>
    </row>
    <row r="115" spans="1:27" ht="15" hidden="1">
      <c r="A115" s="225" t="s">
        <v>1129</v>
      </c>
      <c r="B115" s="625">
        <v>4</v>
      </c>
      <c r="C115" s="496"/>
      <c r="D115" s="31" t="s">
        <v>1116</v>
      </c>
      <c r="J115" s="627">
        <v>3.3437747901993178</v>
      </c>
      <c r="K115" s="627">
        <v>3.7076551380658369</v>
      </c>
      <c r="L115" s="627">
        <v>4.0715354859323565</v>
      </c>
      <c r="M115" s="627">
        <v>4.396604964426821</v>
      </c>
      <c r="N115" s="627">
        <v>4.7216744429212865</v>
      </c>
      <c r="O115" s="499">
        <v>7.6300000000000007E-2</v>
      </c>
      <c r="P115" s="499">
        <v>0.10199999999999999</v>
      </c>
      <c r="R115" s="494"/>
      <c r="S115" s="181"/>
      <c r="T115" s="181"/>
      <c r="U115" s="181"/>
      <c r="V115" s="181"/>
      <c r="W115" s="181"/>
      <c r="X115" s="181"/>
      <c r="Y115" s="181"/>
      <c r="Z115" s="181"/>
    </row>
    <row r="116" spans="1:27" ht="15" hidden="1">
      <c r="A116" s="225" t="s">
        <v>1130</v>
      </c>
      <c r="B116" s="625">
        <v>7</v>
      </c>
      <c r="C116" s="496"/>
      <c r="D116" s="497" t="s">
        <v>1111</v>
      </c>
      <c r="J116" s="627">
        <v>2.92</v>
      </c>
      <c r="K116" s="627">
        <v>3.27</v>
      </c>
      <c r="L116" s="627">
        <v>3.62</v>
      </c>
      <c r="M116" s="627">
        <v>3.64</v>
      </c>
      <c r="N116" s="627">
        <v>3.65</v>
      </c>
      <c r="O116" s="499">
        <v>7.6300000000000007E-2</v>
      </c>
      <c r="P116" s="499">
        <v>0.10199999999999999</v>
      </c>
      <c r="R116" s="494"/>
      <c r="S116" s="181"/>
      <c r="T116" s="181"/>
      <c r="U116" s="181"/>
      <c r="V116" s="181"/>
      <c r="W116" s="181"/>
      <c r="X116" s="181"/>
      <c r="Y116" s="181"/>
      <c r="Z116" s="181"/>
    </row>
    <row r="117" spans="1:27" ht="15" hidden="1" customHeight="1">
      <c r="A117" s="225" t="s">
        <v>1131</v>
      </c>
      <c r="B117" s="625">
        <v>7</v>
      </c>
      <c r="C117" s="225"/>
      <c r="D117" s="225" t="s">
        <v>1117</v>
      </c>
      <c r="J117" s="627">
        <v>2.92</v>
      </c>
      <c r="K117" s="627">
        <v>3.27</v>
      </c>
      <c r="L117" s="627">
        <v>3.62</v>
      </c>
      <c r="M117" s="627">
        <v>3.64</v>
      </c>
      <c r="N117" s="627">
        <v>3.65</v>
      </c>
      <c r="O117" s="499">
        <v>7.6300000000000007E-2</v>
      </c>
      <c r="P117" s="499">
        <v>0.10199999999999999</v>
      </c>
      <c r="R117" s="494"/>
    </row>
    <row r="118" spans="1:27" ht="15" hidden="1">
      <c r="A118" s="225" t="s">
        <v>1132</v>
      </c>
      <c r="B118" s="625">
        <v>7</v>
      </c>
      <c r="C118" s="225"/>
      <c r="D118" s="225" t="s">
        <v>1105</v>
      </c>
      <c r="J118" s="627">
        <v>2.92</v>
      </c>
      <c r="K118" s="627">
        <v>3.27</v>
      </c>
      <c r="L118" s="627">
        <v>3.62</v>
      </c>
      <c r="M118" s="627">
        <v>3.64</v>
      </c>
      <c r="N118" s="627">
        <v>3.65</v>
      </c>
      <c r="O118" s="499">
        <v>7.6300000000000007E-2</v>
      </c>
      <c r="P118" s="499">
        <v>0.10199999999999999</v>
      </c>
      <c r="R118" s="494"/>
    </row>
    <row r="119" spans="1:27" ht="15" hidden="1" customHeight="1">
      <c r="A119" s="225" t="s">
        <v>1133</v>
      </c>
      <c r="B119" s="626">
        <v>11</v>
      </c>
      <c r="D119" s="31" t="s">
        <v>1112</v>
      </c>
      <c r="J119" s="627">
        <v>3.2646006491839366</v>
      </c>
      <c r="K119" s="627">
        <v>3.6532266458929996</v>
      </c>
      <c r="L119" s="627">
        <v>4.0418526426020627</v>
      </c>
      <c r="M119" s="627">
        <v>4.267016854803499</v>
      </c>
      <c r="N119" s="627">
        <v>4.4921810670049362</v>
      </c>
      <c r="O119" s="499">
        <v>7.6300000000000007E-2</v>
      </c>
      <c r="P119" s="499">
        <v>0.10199999999999999</v>
      </c>
    </row>
    <row r="120" spans="1:27" ht="15" hidden="1">
      <c r="A120" s="225" t="s">
        <v>1134</v>
      </c>
      <c r="B120" s="626">
        <v>11</v>
      </c>
      <c r="D120" s="31" t="s">
        <v>1118</v>
      </c>
      <c r="J120" s="627">
        <v>3.2646006491839366</v>
      </c>
      <c r="K120" s="627">
        <v>3.6532266458929996</v>
      </c>
      <c r="L120" s="627">
        <v>4.0418526426020627</v>
      </c>
      <c r="M120" s="627">
        <v>4.267016854803499</v>
      </c>
      <c r="N120" s="627">
        <v>4.4921810670049362</v>
      </c>
      <c r="O120" s="499">
        <v>7.6300000000000007E-2</v>
      </c>
      <c r="P120" s="499">
        <v>0.10199999999999999</v>
      </c>
    </row>
    <row r="121" spans="1:27" ht="15" hidden="1">
      <c r="A121" s="225" t="s">
        <v>1135</v>
      </c>
      <c r="B121" s="626">
        <v>11</v>
      </c>
      <c r="D121" s="31" t="s">
        <v>1106</v>
      </c>
      <c r="J121" s="627">
        <v>3.2646006491839366</v>
      </c>
      <c r="K121" s="627">
        <v>3.6532266458929996</v>
      </c>
      <c r="L121" s="627">
        <v>4.0418526426020627</v>
      </c>
      <c r="M121" s="627">
        <v>4.267016854803499</v>
      </c>
      <c r="N121" s="627">
        <v>4.4921810670049362</v>
      </c>
      <c r="O121" s="499">
        <v>7.6300000000000007E-2</v>
      </c>
      <c r="P121" s="499">
        <v>0.10199999999999999</v>
      </c>
    </row>
    <row r="122" spans="1:27" ht="15" hidden="1">
      <c r="A122" s="225" t="s">
        <v>1136</v>
      </c>
      <c r="B122" s="626">
        <v>11</v>
      </c>
      <c r="D122" s="31" t="s">
        <v>1108</v>
      </c>
      <c r="H122" s="31">
        <v>2.97</v>
      </c>
      <c r="I122" s="31">
        <v>3.26</v>
      </c>
      <c r="J122" s="628">
        <v>3.55</v>
      </c>
      <c r="K122" s="628">
        <v>3.76</v>
      </c>
      <c r="L122" s="628">
        <v>3.97</v>
      </c>
      <c r="M122" s="628">
        <v>4.2300000000000004</v>
      </c>
      <c r="N122" s="628">
        <v>4.4800000000000004</v>
      </c>
      <c r="O122" s="499">
        <v>7.6300000000000007E-2</v>
      </c>
      <c r="P122" s="499">
        <v>0.10199999999999999</v>
      </c>
    </row>
    <row r="123" spans="1:27" ht="15" hidden="1" customHeight="1">
      <c r="A123" s="225" t="s">
        <v>1137</v>
      </c>
      <c r="B123" s="626">
        <v>16</v>
      </c>
      <c r="D123" s="31" t="s">
        <v>1113</v>
      </c>
      <c r="J123" s="628">
        <v>2.66</v>
      </c>
      <c r="K123" s="628">
        <v>3.06</v>
      </c>
      <c r="L123" s="628">
        <v>3.47</v>
      </c>
      <c r="M123" s="628">
        <v>3.53</v>
      </c>
      <c r="N123" s="628">
        <v>3.6</v>
      </c>
      <c r="O123" s="499">
        <v>7.6300000000000007E-2</v>
      </c>
      <c r="P123" s="499">
        <v>0.10199999999999999</v>
      </c>
    </row>
    <row r="124" spans="1:27" ht="15" hidden="1">
      <c r="A124" s="225" t="s">
        <v>1138</v>
      </c>
      <c r="B124" s="626">
        <v>16</v>
      </c>
      <c r="D124" s="31" t="s">
        <v>1119</v>
      </c>
      <c r="J124" s="628">
        <v>2.66</v>
      </c>
      <c r="K124" s="628">
        <v>3.06</v>
      </c>
      <c r="L124" s="628">
        <v>3.47</v>
      </c>
      <c r="M124" s="628">
        <v>3.53</v>
      </c>
      <c r="N124" s="628">
        <v>3.6</v>
      </c>
      <c r="O124" s="499">
        <v>7.6300000000000007E-2</v>
      </c>
      <c r="P124" s="499">
        <v>0.10199999999999999</v>
      </c>
    </row>
    <row r="125" spans="1:27" ht="15" hidden="1" customHeight="1">
      <c r="A125" s="225" t="s">
        <v>1139</v>
      </c>
      <c r="B125" s="626">
        <v>16</v>
      </c>
      <c r="D125" s="31" t="s">
        <v>1107</v>
      </c>
      <c r="J125" s="628">
        <v>2.66</v>
      </c>
      <c r="K125" s="628">
        <v>3.06</v>
      </c>
      <c r="L125" s="628">
        <v>3.47</v>
      </c>
      <c r="M125" s="628">
        <v>3.53</v>
      </c>
      <c r="N125" s="628">
        <v>3.6</v>
      </c>
      <c r="O125" s="499">
        <v>7.6300000000000007E-2</v>
      </c>
      <c r="P125" s="499">
        <v>0.10199999999999999</v>
      </c>
    </row>
    <row r="126" spans="1:27" ht="15" hidden="1">
      <c r="A126" s="225" t="s">
        <v>1140</v>
      </c>
      <c r="B126" s="626">
        <v>16</v>
      </c>
      <c r="D126" s="31" t="s">
        <v>1109</v>
      </c>
      <c r="H126" s="31">
        <v>2.8</v>
      </c>
      <c r="I126" s="31">
        <v>2.97</v>
      </c>
      <c r="J126" s="628">
        <v>3.13</v>
      </c>
      <c r="K126" s="628">
        <v>3.22</v>
      </c>
      <c r="L126" s="628">
        <v>3.31</v>
      </c>
      <c r="M126" s="628">
        <v>3.45</v>
      </c>
      <c r="N126" s="628">
        <v>3.6</v>
      </c>
      <c r="O126" s="499">
        <v>7.6300000000000007E-2</v>
      </c>
      <c r="P126" s="499">
        <v>0.10199999999999999</v>
      </c>
    </row>
    <row r="127" spans="1:27" ht="15" hidden="1" customHeight="1">
      <c r="A127" s="225" t="s">
        <v>1141</v>
      </c>
      <c r="B127" s="626">
        <v>18</v>
      </c>
      <c r="D127" s="31" t="s">
        <v>1114</v>
      </c>
      <c r="J127" s="628">
        <v>2.92</v>
      </c>
      <c r="K127" s="628">
        <v>3.15</v>
      </c>
      <c r="L127" s="628">
        <v>3.38</v>
      </c>
      <c r="M127" s="628">
        <v>3.48</v>
      </c>
      <c r="N127" s="628">
        <v>3.58</v>
      </c>
      <c r="O127" s="499">
        <v>7.6300000000000007E-2</v>
      </c>
      <c r="P127" s="499">
        <v>0.10199999999999999</v>
      </c>
    </row>
    <row r="128" spans="1:27" ht="15" hidden="1">
      <c r="A128" s="225" t="s">
        <v>1142</v>
      </c>
      <c r="B128" s="626">
        <v>20</v>
      </c>
      <c r="D128" s="31" t="s">
        <v>1115</v>
      </c>
      <c r="J128" s="628">
        <v>2.86</v>
      </c>
      <c r="K128" s="628">
        <v>3.03</v>
      </c>
      <c r="L128" s="628">
        <v>3.21</v>
      </c>
      <c r="M128" s="628">
        <v>3.35</v>
      </c>
      <c r="N128" s="628">
        <v>3.49</v>
      </c>
      <c r="O128" s="499">
        <v>7.6300000000000007E-2</v>
      </c>
      <c r="P128" s="499">
        <v>0.10199999999999999</v>
      </c>
    </row>
    <row r="129" spans="3:7" ht="15" customHeight="1"/>
    <row r="130" spans="3:7" ht="15">
      <c r="C130" s="627"/>
      <c r="D130" s="627"/>
      <c r="E130" s="627"/>
      <c r="F130" s="627"/>
      <c r="G130" s="627"/>
    </row>
    <row r="131" spans="3:7" ht="15" customHeight="1"/>
    <row r="133" spans="3:7" ht="15" customHeight="1"/>
    <row r="135" spans="3:7" ht="15" customHeight="1"/>
    <row r="137" spans="3:7" ht="15" customHeight="1"/>
    <row r="139" spans="3:7" ht="15" customHeight="1"/>
  </sheetData>
  <sheetProtection algorithmName="SHA-512" hashValue="OL7BcWMCOcTCMX90Uz18hEyg/SNMzH7zxtY3sMH726dIPp+i2PZQil9BrBdXXCSxPsfmFFBtewGAH+C2IDRPhA==" saltValue="0rnlv05XQByiWtG0xoqJvA==" spinCount="100000" sheet="1" objects="1" scenarios="1"/>
  <mergeCells count="34">
    <mergeCell ref="A43:C43"/>
    <mergeCell ref="A45:C45"/>
    <mergeCell ref="A47:C47"/>
    <mergeCell ref="A44:C44"/>
    <mergeCell ref="A39:A40"/>
    <mergeCell ref="G41:H42"/>
    <mergeCell ref="A41:E41"/>
    <mergeCell ref="A42:C42"/>
    <mergeCell ref="I13:I14"/>
    <mergeCell ref="A15:A16"/>
    <mergeCell ref="G13:G14"/>
    <mergeCell ref="H13:H14"/>
    <mergeCell ref="R68:R69"/>
    <mergeCell ref="H68:H69"/>
    <mergeCell ref="I68:I69"/>
    <mergeCell ref="P68:P69"/>
    <mergeCell ref="G57:H57"/>
    <mergeCell ref="G58:H58"/>
    <mergeCell ref="G59:H59"/>
    <mergeCell ref="A49:E49"/>
    <mergeCell ref="A46:C46"/>
    <mergeCell ref="G48:H48"/>
    <mergeCell ref="A55:C55"/>
    <mergeCell ref="A50:C50"/>
    <mergeCell ref="A54:C54"/>
    <mergeCell ref="A51:C51"/>
    <mergeCell ref="A52:C52"/>
    <mergeCell ref="A53:C53"/>
    <mergeCell ref="A48:C48"/>
    <mergeCell ref="G44:H44"/>
    <mergeCell ref="G45:H45"/>
    <mergeCell ref="G46:H46"/>
    <mergeCell ref="G47:H47"/>
    <mergeCell ref="G53:I54"/>
  </mergeCells>
  <dataValidations count="3">
    <dataValidation type="list" allowBlank="1" showInputMessage="1" showErrorMessage="1" sqref="D20 D31">
      <formula1>"yes,no,self build"</formula1>
    </dataValidation>
    <dataValidation type="list" allowBlank="1" showInputMessage="1" showErrorMessage="1" sqref="D54">
      <formula1>"1,7"</formula1>
    </dataValidation>
    <dataValidation type="list" allowBlank="1" showInputMessage="1" showErrorMessage="1" sqref="A11">
      <formula1>$H$70:$H$79</formula1>
    </dataValidation>
  </dataValidations>
  <pageMargins left="0.7" right="0.7" top="0.75" bottom="0.75" header="0.3" footer="0.3"/>
  <pageSetup paperSize="9" scale="45" fitToHeight="0" orientation="portrait"/>
  <headerFooter>
    <oddHeader>&amp;Linsert your details here&amp;Cinsert your logo here</oddHeader>
    <oddFooter>&amp;CCopyright Hendra Freedom Heat pumps
www.samsungehs.co.uk www.freedomhp.co.uk
02380274833</oddFooter>
  </headerFooter>
  <drawing r:id="rId1"/>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sheetPr enableFormatConditionsCalculation="0">
    <tabColor rgb="FF94BBDE"/>
  </sheetPr>
  <dimension ref="A1:BF104"/>
  <sheetViews>
    <sheetView workbookViewId="0">
      <selection activeCell="BG61" sqref="BG61"/>
    </sheetView>
  </sheetViews>
  <sheetFormatPr defaultColWidth="9.140625" defaultRowHeight="14.25"/>
  <cols>
    <col min="1" max="1" width="9.140625" style="24"/>
    <col min="2" max="2" width="30.42578125" style="24" customWidth="1"/>
    <col min="3" max="3" width="10.28515625" style="24" customWidth="1"/>
    <col min="4" max="4" width="12.85546875" style="24" customWidth="1"/>
    <col min="5" max="6" width="9.140625" style="24"/>
    <col min="7" max="7" width="12.7109375" style="24" bestFit="1" customWidth="1"/>
    <col min="8" max="8" width="15.42578125" style="24" customWidth="1"/>
    <col min="9" max="9" width="20.140625" style="24" customWidth="1"/>
    <col min="10" max="10" width="4.7109375" style="24" customWidth="1"/>
    <col min="11" max="11" width="16.85546875" style="24" customWidth="1"/>
    <col min="12" max="12" width="10" style="24" bestFit="1" customWidth="1"/>
    <col min="13" max="14" width="9.140625" style="24" hidden="1" customWidth="1"/>
    <col min="15" max="16" width="20" style="24" hidden="1" customWidth="1"/>
    <col min="17" max="17" width="20.28515625" style="24" hidden="1" customWidth="1"/>
    <col min="18" max="18" width="14.140625" style="24" hidden="1" customWidth="1"/>
    <col min="19" max="57" width="9.140625" style="24" hidden="1" customWidth="1"/>
    <col min="58" max="59" width="9.140625" style="24" customWidth="1"/>
    <col min="60" max="16384" width="9.140625" style="24"/>
  </cols>
  <sheetData>
    <row r="1" spans="1:58" ht="23.25">
      <c r="A1" s="130" t="s">
        <v>898</v>
      </c>
      <c r="B1" s="500"/>
      <c r="C1" s="500"/>
      <c r="D1" s="500"/>
      <c r="E1" s="500"/>
      <c r="F1" s="500"/>
      <c r="G1" s="500"/>
      <c r="H1" s="500"/>
      <c r="I1" s="500"/>
      <c r="J1" s="500"/>
      <c r="K1" s="500"/>
      <c r="L1" s="298"/>
      <c r="M1" s="501"/>
      <c r="N1" s="501"/>
      <c r="O1" s="501"/>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1"/>
      <c r="BC1" s="501"/>
      <c r="BD1" s="501"/>
      <c r="BE1" s="501"/>
      <c r="BF1" s="31"/>
    </row>
    <row r="2" spans="1:58" ht="23.25">
      <c r="A2" s="130" t="s">
        <v>156</v>
      </c>
      <c r="B2" s="500"/>
      <c r="C2" s="500"/>
      <c r="D2" s="500"/>
      <c r="E2" s="500"/>
      <c r="F2" s="500"/>
      <c r="G2" s="500"/>
      <c r="H2" s="500"/>
      <c r="I2" s="500"/>
      <c r="J2" s="500"/>
      <c r="K2" s="500"/>
      <c r="L2" s="298"/>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31"/>
    </row>
    <row r="3" spans="1:58">
      <c r="A3" s="500"/>
      <c r="B3" s="500"/>
      <c r="C3" s="500"/>
      <c r="D3" s="500"/>
      <c r="E3" s="500"/>
      <c r="F3" s="500"/>
      <c r="G3" s="500"/>
      <c r="H3" s="500"/>
      <c r="I3" s="500"/>
      <c r="J3" s="500"/>
      <c r="K3" s="500"/>
      <c r="L3" s="298"/>
      <c r="M3" s="501"/>
      <c r="N3" s="501"/>
      <c r="O3" s="501"/>
      <c r="P3" s="501"/>
      <c r="Q3" s="501"/>
      <c r="R3" s="501"/>
      <c r="S3" s="501"/>
      <c r="T3" s="501"/>
      <c r="U3" s="501"/>
      <c r="V3" s="501"/>
      <c r="W3" s="501"/>
      <c r="X3" s="501"/>
      <c r="Y3" s="501"/>
      <c r="Z3" s="501"/>
      <c r="AA3" s="501"/>
      <c r="AB3" s="501"/>
      <c r="AC3" s="501"/>
      <c r="AD3" s="501"/>
      <c r="AE3" s="501"/>
      <c r="AF3" s="501"/>
      <c r="AG3" s="501"/>
      <c r="AH3" s="501"/>
      <c r="AI3" s="501"/>
      <c r="AJ3" s="501"/>
      <c r="AK3" s="501"/>
      <c r="AL3" s="501"/>
      <c r="AM3" s="501"/>
      <c r="AN3" s="501"/>
      <c r="AO3" s="501"/>
      <c r="AP3" s="501"/>
      <c r="AQ3" s="501"/>
      <c r="AR3" s="501"/>
      <c r="AS3" s="501"/>
      <c r="AT3" s="501"/>
      <c r="AU3" s="501"/>
      <c r="AV3" s="501"/>
      <c r="AW3" s="501"/>
      <c r="AX3" s="501"/>
      <c r="AY3" s="501"/>
      <c r="AZ3" s="501"/>
      <c r="BA3" s="501"/>
      <c r="BB3" s="501"/>
      <c r="BC3" s="501"/>
      <c r="BD3" s="501"/>
      <c r="BE3" s="501"/>
      <c r="BF3" s="31"/>
    </row>
    <row r="4" spans="1:58">
      <c r="A4" s="500"/>
      <c r="B4" s="500"/>
      <c r="C4" s="500"/>
      <c r="D4" s="500"/>
      <c r="E4" s="500"/>
      <c r="F4" s="500"/>
      <c r="G4" s="500"/>
      <c r="H4" s="500"/>
      <c r="I4" s="500"/>
      <c r="J4" s="500"/>
      <c r="K4" s="500"/>
      <c r="L4" s="298"/>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1"/>
      <c r="AR4" s="501"/>
      <c r="AS4" s="501"/>
      <c r="AT4" s="501"/>
      <c r="AU4" s="501"/>
      <c r="AV4" s="501"/>
      <c r="AW4" s="501"/>
      <c r="AX4" s="501"/>
      <c r="AY4" s="501"/>
      <c r="AZ4" s="501"/>
      <c r="BA4" s="501"/>
      <c r="BB4" s="501"/>
      <c r="BC4" s="501"/>
      <c r="BD4" s="501"/>
      <c r="BE4" s="501"/>
      <c r="BF4" s="31"/>
    </row>
    <row r="5" spans="1:58">
      <c r="A5" s="500"/>
      <c r="B5" s="500"/>
      <c r="C5" s="500"/>
      <c r="D5" s="500"/>
      <c r="E5" s="500"/>
      <c r="F5" s="500"/>
      <c r="G5" s="500"/>
      <c r="H5" s="500"/>
      <c r="I5" s="500"/>
      <c r="J5" s="500"/>
      <c r="K5" s="500"/>
      <c r="L5" s="298"/>
      <c r="M5" s="501"/>
      <c r="N5" s="501"/>
      <c r="O5" s="501"/>
      <c r="P5" s="501"/>
      <c r="Q5" s="501"/>
      <c r="R5" s="501"/>
      <c r="S5" s="501"/>
      <c r="T5" s="501"/>
      <c r="U5" s="501"/>
      <c r="V5" s="501"/>
      <c r="W5" s="501"/>
      <c r="X5" s="501"/>
      <c r="Y5" s="501"/>
      <c r="Z5" s="501"/>
      <c r="AA5" s="501"/>
      <c r="AB5" s="501"/>
      <c r="AC5" s="501"/>
      <c r="AD5" s="501"/>
      <c r="AE5" s="501"/>
      <c r="AF5" s="501"/>
      <c r="AG5" s="501"/>
      <c r="AH5" s="501"/>
      <c r="AI5" s="501"/>
      <c r="AJ5" s="501"/>
      <c r="AK5" s="501"/>
      <c r="AL5" s="501"/>
      <c r="AM5" s="501"/>
      <c r="AN5" s="501"/>
      <c r="AO5" s="501"/>
      <c r="AP5" s="501"/>
      <c r="AQ5" s="501"/>
      <c r="AR5" s="501"/>
      <c r="AS5" s="501"/>
      <c r="AT5" s="501"/>
      <c r="AU5" s="501"/>
      <c r="AV5" s="501"/>
      <c r="AW5" s="501"/>
      <c r="AX5" s="501"/>
      <c r="AY5" s="501"/>
      <c r="AZ5" s="501"/>
      <c r="BA5" s="501"/>
      <c r="BB5" s="501"/>
      <c r="BC5" s="501"/>
      <c r="BD5" s="501"/>
      <c r="BE5" s="501"/>
      <c r="BF5" s="31"/>
    </row>
    <row r="6" spans="1:58">
      <c r="A6" s="500"/>
      <c r="B6" s="500"/>
      <c r="C6" s="500"/>
      <c r="D6" s="500"/>
      <c r="E6" s="500"/>
      <c r="F6" s="500"/>
      <c r="G6" s="500"/>
      <c r="H6" s="500"/>
      <c r="I6" s="500"/>
      <c r="J6" s="500"/>
      <c r="K6" s="500"/>
      <c r="L6" s="298"/>
      <c r="M6" s="501"/>
      <c r="N6" s="501"/>
      <c r="O6" s="501"/>
      <c r="P6" s="501"/>
      <c r="Q6" s="501"/>
      <c r="R6" s="501"/>
      <c r="S6" s="501"/>
      <c r="T6" s="501"/>
      <c r="U6" s="501"/>
      <c r="V6" s="501"/>
      <c r="W6" s="501"/>
      <c r="X6" s="501"/>
      <c r="Y6" s="501"/>
      <c r="Z6" s="501"/>
      <c r="AA6" s="501"/>
      <c r="AB6" s="501"/>
      <c r="AC6" s="501"/>
      <c r="AD6" s="501"/>
      <c r="AE6" s="501"/>
      <c r="AF6" s="501"/>
      <c r="AG6" s="501"/>
      <c r="AH6" s="501"/>
      <c r="AI6" s="501"/>
      <c r="AJ6" s="501"/>
      <c r="AK6" s="501"/>
      <c r="AL6" s="501"/>
      <c r="AM6" s="501"/>
      <c r="AN6" s="501"/>
      <c r="AO6" s="501"/>
      <c r="AP6" s="501"/>
      <c r="AQ6" s="501"/>
      <c r="AR6" s="501"/>
      <c r="AS6" s="501"/>
      <c r="AT6" s="501"/>
      <c r="AU6" s="501"/>
      <c r="AV6" s="501"/>
      <c r="AW6" s="501"/>
      <c r="AX6" s="501"/>
      <c r="AY6" s="501"/>
      <c r="AZ6" s="501"/>
      <c r="BA6" s="501"/>
      <c r="BB6" s="501"/>
      <c r="BC6" s="501"/>
      <c r="BD6" s="501"/>
      <c r="BE6" s="501"/>
      <c r="BF6" s="31"/>
    </row>
    <row r="7" spans="1:58" ht="15" thickBot="1">
      <c r="A7" s="500"/>
      <c r="B7" s="500"/>
      <c r="C7" s="500"/>
      <c r="D7" s="500"/>
      <c r="E7" s="500"/>
      <c r="F7" s="500"/>
      <c r="G7" s="500"/>
      <c r="H7" s="500"/>
      <c r="I7" s="500"/>
      <c r="J7" s="500"/>
      <c r="K7" s="500"/>
      <c r="L7" s="298"/>
      <c r="M7" s="501"/>
      <c r="N7" s="501"/>
      <c r="O7" s="501"/>
      <c r="P7" s="501"/>
      <c r="Q7" s="501" t="s">
        <v>157</v>
      </c>
      <c r="R7" s="501"/>
      <c r="S7" s="501"/>
      <c r="T7" s="501"/>
      <c r="U7" s="501" t="s">
        <v>158</v>
      </c>
      <c r="V7" s="501"/>
      <c r="W7" s="501"/>
      <c r="X7" s="501"/>
      <c r="Y7" s="501"/>
      <c r="Z7" s="501"/>
      <c r="AA7" s="501"/>
      <c r="AB7" s="501"/>
      <c r="AC7" s="501"/>
      <c r="AD7" s="501"/>
      <c r="AE7" s="501"/>
      <c r="AF7" s="501"/>
      <c r="AG7" s="501"/>
      <c r="AH7" s="501"/>
      <c r="AI7" s="501"/>
      <c r="AJ7" s="501"/>
      <c r="AK7" s="501"/>
      <c r="AL7" s="501"/>
      <c r="AM7" s="501"/>
      <c r="AN7" s="501"/>
      <c r="AO7" s="501"/>
      <c r="AP7" s="501"/>
      <c r="AQ7" s="501"/>
      <c r="AR7" s="501"/>
      <c r="AS7" s="501"/>
      <c r="AT7" s="501"/>
      <c r="AU7" s="501"/>
      <c r="AV7" s="501"/>
      <c r="AW7" s="501"/>
      <c r="AX7" s="501"/>
      <c r="AY7" s="501"/>
      <c r="AZ7" s="501"/>
      <c r="BA7" s="501"/>
      <c r="BB7" s="501"/>
      <c r="BC7" s="501"/>
      <c r="BD7" s="501"/>
      <c r="BE7" s="501"/>
      <c r="BF7" s="31"/>
    </row>
    <row r="8" spans="1:58" ht="24" thickBot="1">
      <c r="A8" s="500"/>
      <c r="B8" s="641" t="s">
        <v>897</v>
      </c>
      <c r="C8" s="641" t="s">
        <v>815</v>
      </c>
      <c r="D8" s="641" t="s">
        <v>816</v>
      </c>
      <c r="E8" s="451" t="s">
        <v>908</v>
      </c>
      <c r="F8" s="451"/>
      <c r="G8" s="357"/>
      <c r="H8" s="357"/>
      <c r="I8" s="357"/>
      <c r="J8" s="357"/>
      <c r="K8" s="500"/>
      <c r="L8" s="298"/>
      <c r="M8" s="501"/>
      <c r="N8" s="501"/>
      <c r="O8" s="501"/>
      <c r="P8" s="501"/>
      <c r="Q8" s="501"/>
      <c r="R8" s="501"/>
      <c r="S8" s="501"/>
      <c r="T8" s="501"/>
      <c r="U8" s="501"/>
      <c r="V8" s="501"/>
      <c r="W8" s="501"/>
      <c r="X8" s="501"/>
      <c r="Y8" s="501"/>
      <c r="Z8" s="501"/>
      <c r="AA8" s="501"/>
      <c r="AB8" s="501"/>
      <c r="AC8" s="501"/>
      <c r="AD8" s="501"/>
      <c r="AE8" s="501"/>
      <c r="AF8" s="501"/>
      <c r="AG8" s="501"/>
      <c r="AH8" s="501"/>
      <c r="AI8" s="501"/>
      <c r="AJ8" s="501"/>
      <c r="AK8" s="501"/>
      <c r="AL8" s="501"/>
      <c r="AM8" s="501"/>
      <c r="AN8" s="501"/>
      <c r="AO8" s="501"/>
      <c r="AP8" s="501"/>
      <c r="AQ8" s="501"/>
      <c r="AR8" s="501"/>
      <c r="AS8" s="501"/>
      <c r="AT8" s="501"/>
      <c r="AU8" s="501"/>
      <c r="AV8" s="501"/>
      <c r="AW8" s="501"/>
      <c r="AX8" s="501"/>
      <c r="AY8" s="501"/>
      <c r="AZ8" s="501"/>
      <c r="BA8" s="501"/>
      <c r="BB8" s="501"/>
      <c r="BC8" s="501"/>
      <c r="BD8" s="501"/>
      <c r="BE8" s="501"/>
      <c r="BF8" s="31"/>
    </row>
    <row r="9" spans="1:58" ht="23.25">
      <c r="A9" s="500"/>
      <c r="B9" s="642" t="s">
        <v>812</v>
      </c>
      <c r="C9" s="592">
        <v>61</v>
      </c>
      <c r="D9" s="592">
        <v>45</v>
      </c>
      <c r="E9" s="451"/>
      <c r="F9" s="451"/>
      <c r="G9" s="357"/>
      <c r="H9" s="357"/>
      <c r="I9" s="357"/>
      <c r="J9" s="357"/>
      <c r="K9" s="500"/>
      <c r="L9" s="298"/>
      <c r="M9" s="501"/>
      <c r="N9" s="501"/>
      <c r="O9" s="501"/>
      <c r="P9" s="501"/>
      <c r="Q9" s="501"/>
      <c r="R9" s="501"/>
      <c r="S9" s="501"/>
      <c r="T9" s="501"/>
      <c r="U9" s="501" t="s">
        <v>160</v>
      </c>
      <c r="V9" s="501" t="s">
        <v>161</v>
      </c>
      <c r="W9" s="501"/>
      <c r="X9" s="501"/>
      <c r="Y9" s="501"/>
      <c r="Z9" s="501"/>
      <c r="AA9" s="501"/>
      <c r="AB9" s="501"/>
      <c r="AC9" s="501"/>
      <c r="AD9" s="501"/>
      <c r="AE9" s="501"/>
      <c r="AF9" s="501"/>
      <c r="AG9" s="501"/>
      <c r="AH9" s="501"/>
      <c r="AI9" s="501"/>
      <c r="AJ9" s="501"/>
      <c r="AK9" s="501"/>
      <c r="AL9" s="501"/>
      <c r="AM9" s="501"/>
      <c r="AN9" s="501"/>
      <c r="AO9" s="501"/>
      <c r="AP9" s="501"/>
      <c r="AQ9" s="501"/>
      <c r="AR9" s="501"/>
      <c r="AS9" s="501"/>
      <c r="AT9" s="501"/>
      <c r="AU9" s="501"/>
      <c r="AV9" s="501"/>
      <c r="AW9" s="501"/>
      <c r="AX9" s="501"/>
      <c r="AY9" s="501"/>
      <c r="AZ9" s="501"/>
      <c r="BA9" s="501"/>
      <c r="BB9" s="501"/>
      <c r="BC9" s="501"/>
      <c r="BD9" s="501"/>
      <c r="BE9" s="501"/>
      <c r="BF9" s="31"/>
    </row>
    <row r="10" spans="1:58">
      <c r="A10" s="500"/>
      <c r="B10" s="643" t="s">
        <v>85</v>
      </c>
      <c r="C10" s="502">
        <v>63</v>
      </c>
      <c r="D10" s="502">
        <v>48</v>
      </c>
      <c r="E10" s="503" t="s">
        <v>217</v>
      </c>
      <c r="F10" s="503"/>
      <c r="G10" s="500"/>
      <c r="H10" s="500"/>
      <c r="I10" s="500"/>
      <c r="J10" s="500"/>
      <c r="K10" s="500"/>
      <c r="L10" s="298"/>
      <c r="M10" s="501"/>
      <c r="N10" s="501"/>
      <c r="O10" s="501"/>
      <c r="P10" s="501"/>
      <c r="Q10" s="501"/>
      <c r="R10" s="501"/>
      <c r="S10" s="501"/>
      <c r="T10" s="501"/>
      <c r="U10" s="501"/>
      <c r="V10" s="501">
        <v>1</v>
      </c>
      <c r="W10" s="501">
        <v>1.5</v>
      </c>
      <c r="X10" s="501">
        <v>2</v>
      </c>
      <c r="Y10" s="501">
        <v>3</v>
      </c>
      <c r="Z10" s="501">
        <v>4</v>
      </c>
      <c r="AA10" s="501">
        <v>5</v>
      </c>
      <c r="AB10" s="501">
        <v>6</v>
      </c>
      <c r="AC10" s="501">
        <v>7</v>
      </c>
      <c r="AD10" s="501">
        <v>8</v>
      </c>
      <c r="AE10" s="501">
        <v>9</v>
      </c>
      <c r="AF10" s="501">
        <v>10</v>
      </c>
      <c r="AG10" s="501">
        <v>11</v>
      </c>
      <c r="AH10" s="501">
        <v>12</v>
      </c>
      <c r="AI10" s="501">
        <v>13</v>
      </c>
      <c r="AJ10" s="501">
        <v>14</v>
      </c>
      <c r="AK10" s="501">
        <v>15</v>
      </c>
      <c r="AL10" s="501">
        <v>16</v>
      </c>
      <c r="AM10" s="501">
        <v>17</v>
      </c>
      <c r="AN10" s="501">
        <v>18</v>
      </c>
      <c r="AO10" s="501">
        <v>19</v>
      </c>
      <c r="AP10" s="501">
        <v>20</v>
      </c>
      <c r="AQ10" s="501">
        <v>21</v>
      </c>
      <c r="AR10" s="501">
        <v>22</v>
      </c>
      <c r="AS10" s="501">
        <v>23</v>
      </c>
      <c r="AT10" s="501">
        <v>24</v>
      </c>
      <c r="AU10" s="501">
        <v>25</v>
      </c>
      <c r="AV10" s="501">
        <v>26</v>
      </c>
      <c r="AW10" s="501">
        <v>27</v>
      </c>
      <c r="AX10" s="501">
        <v>28</v>
      </c>
      <c r="AY10" s="501">
        <v>29</v>
      </c>
      <c r="AZ10" s="501">
        <v>30</v>
      </c>
      <c r="BA10" s="501">
        <v>31</v>
      </c>
      <c r="BB10" s="501">
        <v>32</v>
      </c>
      <c r="BC10" s="501">
        <v>33</v>
      </c>
      <c r="BD10" s="501">
        <v>34</v>
      </c>
      <c r="BE10" s="501">
        <v>35</v>
      </c>
      <c r="BF10" s="31"/>
    </row>
    <row r="11" spans="1:58">
      <c r="A11" s="500"/>
      <c r="B11" s="643" t="s">
        <v>693</v>
      </c>
      <c r="C11" s="502">
        <v>64</v>
      </c>
      <c r="D11" s="502">
        <v>50</v>
      </c>
      <c r="E11" s="503" t="s">
        <v>218</v>
      </c>
      <c r="F11" s="503"/>
      <c r="G11" s="500"/>
      <c r="H11" s="500"/>
      <c r="I11" s="500"/>
      <c r="J11" s="500"/>
      <c r="K11" s="500"/>
      <c r="L11" s="298"/>
      <c r="M11" s="501"/>
      <c r="N11" s="501"/>
      <c r="O11" s="501"/>
      <c r="P11" s="501"/>
      <c r="Q11" s="501"/>
      <c r="R11" s="501"/>
      <c r="S11" s="501"/>
      <c r="T11" s="501"/>
      <c r="U11" s="501">
        <v>2</v>
      </c>
      <c r="V11" s="501">
        <v>-8</v>
      </c>
      <c r="W11" s="501">
        <v>-11</v>
      </c>
      <c r="X11" s="501">
        <v>-14</v>
      </c>
      <c r="Y11" s="501">
        <v>-17</v>
      </c>
      <c r="Z11" s="501">
        <v>-20</v>
      </c>
      <c r="AA11" s="501">
        <v>-21</v>
      </c>
      <c r="AB11" s="501">
        <v>-23</v>
      </c>
      <c r="AC11" s="501">
        <v>-26</v>
      </c>
      <c r="AD11" s="501">
        <v>-26</v>
      </c>
      <c r="AE11" s="501">
        <v>-28</v>
      </c>
      <c r="AF11" s="501">
        <v>-28</v>
      </c>
      <c r="AG11" s="501">
        <v>-29</v>
      </c>
      <c r="AH11" s="501">
        <v>-29</v>
      </c>
      <c r="AI11" s="501">
        <v>-31</v>
      </c>
      <c r="AJ11" s="501">
        <v>-31</v>
      </c>
      <c r="AK11" s="501">
        <v>-31</v>
      </c>
      <c r="AL11" s="501">
        <v>-31</v>
      </c>
      <c r="AM11" s="501">
        <v>-31</v>
      </c>
      <c r="AN11" s="501">
        <v>-31</v>
      </c>
      <c r="AO11" s="501">
        <v>-31</v>
      </c>
      <c r="AP11" s="501">
        <v>-34</v>
      </c>
      <c r="AQ11" s="501">
        <v>-34</v>
      </c>
      <c r="AR11" s="501">
        <v>-34</v>
      </c>
      <c r="AS11" s="501">
        <v>-34</v>
      </c>
      <c r="AT11" s="501">
        <v>-34</v>
      </c>
      <c r="AU11" s="501">
        <v>-36</v>
      </c>
      <c r="AV11" s="501">
        <v>-36</v>
      </c>
      <c r="AW11" s="501">
        <v>-36</v>
      </c>
      <c r="AX11" s="501">
        <v>-36</v>
      </c>
      <c r="AY11" s="501">
        <v>-36</v>
      </c>
      <c r="AZ11" s="501">
        <v>-37</v>
      </c>
      <c r="BA11" s="501">
        <v>-37</v>
      </c>
      <c r="BB11" s="501">
        <v>-37</v>
      </c>
      <c r="BC11" s="501">
        <v>-37</v>
      </c>
      <c r="BD11" s="501">
        <v>-37</v>
      </c>
      <c r="BE11" s="501">
        <v>-37</v>
      </c>
      <c r="BF11" s="31"/>
    </row>
    <row r="12" spans="1:58">
      <c r="A12" s="500"/>
      <c r="B12" s="643" t="s">
        <v>202</v>
      </c>
      <c r="C12" s="502">
        <v>65</v>
      </c>
      <c r="D12" s="502">
        <v>51</v>
      </c>
      <c r="E12" s="503" t="s">
        <v>219</v>
      </c>
      <c r="F12" s="503"/>
      <c r="G12" s="500"/>
      <c r="H12" s="500"/>
      <c r="I12" s="500"/>
      <c r="J12" s="500"/>
      <c r="K12" s="500"/>
      <c r="L12" s="298"/>
      <c r="M12" s="501"/>
      <c r="N12" s="501"/>
      <c r="O12" s="501"/>
      <c r="P12" s="501"/>
      <c r="Q12" s="501"/>
      <c r="R12" s="501"/>
      <c r="S12" s="501"/>
      <c r="T12" s="501"/>
      <c r="U12" s="501">
        <v>4</v>
      </c>
      <c r="V12" s="501">
        <v>-5</v>
      </c>
      <c r="W12" s="501">
        <v>-8</v>
      </c>
      <c r="X12" s="501">
        <v>-11</v>
      </c>
      <c r="Y12" s="501">
        <v>-14</v>
      </c>
      <c r="Z12" s="501">
        <v>-17</v>
      </c>
      <c r="AA12" s="501">
        <v>-19</v>
      </c>
      <c r="AB12" s="501">
        <v>-20</v>
      </c>
      <c r="AC12" s="501">
        <v>-23</v>
      </c>
      <c r="AD12" s="501">
        <v>-23</v>
      </c>
      <c r="AE12" s="501">
        <v>-25</v>
      </c>
      <c r="AF12" s="501">
        <v>-25</v>
      </c>
      <c r="AG12" s="501">
        <v>-26</v>
      </c>
      <c r="AH12" s="501">
        <v>-26</v>
      </c>
      <c r="AI12" s="501">
        <v>-28</v>
      </c>
      <c r="AJ12" s="501">
        <v>-28</v>
      </c>
      <c r="AK12" s="501">
        <v>-28</v>
      </c>
      <c r="AL12" s="501">
        <v>-28</v>
      </c>
      <c r="AM12" s="501">
        <v>-28</v>
      </c>
      <c r="AN12" s="501">
        <v>-28</v>
      </c>
      <c r="AO12" s="501">
        <v>-28</v>
      </c>
      <c r="AP12" s="501">
        <v>-31</v>
      </c>
      <c r="AQ12" s="501">
        <v>-31</v>
      </c>
      <c r="AR12" s="501">
        <v>-31</v>
      </c>
      <c r="AS12" s="501">
        <v>-31</v>
      </c>
      <c r="AT12" s="501">
        <v>-31</v>
      </c>
      <c r="AU12" s="501">
        <v>-33</v>
      </c>
      <c r="AV12" s="501">
        <v>-33</v>
      </c>
      <c r="AW12" s="501">
        <v>-33</v>
      </c>
      <c r="AX12" s="501">
        <v>-33</v>
      </c>
      <c r="AY12" s="501">
        <v>-33</v>
      </c>
      <c r="AZ12" s="501">
        <v>-34</v>
      </c>
      <c r="BA12" s="501">
        <v>-34</v>
      </c>
      <c r="BB12" s="501">
        <v>-34</v>
      </c>
      <c r="BC12" s="501">
        <v>-34</v>
      </c>
      <c r="BD12" s="501">
        <v>-34</v>
      </c>
      <c r="BE12" s="501">
        <v>-34</v>
      </c>
      <c r="BF12" s="31"/>
    </row>
    <row r="13" spans="1:58">
      <c r="A13" s="500"/>
      <c r="B13" s="643" t="s">
        <v>811</v>
      </c>
      <c r="C13" s="502">
        <v>53</v>
      </c>
      <c r="D13" s="502">
        <v>61</v>
      </c>
      <c r="E13" s="503" t="s">
        <v>899</v>
      </c>
      <c r="F13" s="503"/>
      <c r="G13" s="500"/>
      <c r="H13" s="500"/>
      <c r="I13" s="500"/>
      <c r="J13" s="500"/>
      <c r="K13" s="500"/>
      <c r="L13" s="298"/>
      <c r="M13" s="501"/>
      <c r="N13" s="501"/>
      <c r="O13" s="501"/>
      <c r="P13" s="501"/>
      <c r="Q13" s="501"/>
      <c r="R13" s="501"/>
      <c r="S13" s="501"/>
      <c r="T13" s="501"/>
      <c r="U13" s="501">
        <v>8</v>
      </c>
      <c r="V13" s="501">
        <v>-2</v>
      </c>
      <c r="W13" s="501">
        <v>-5</v>
      </c>
      <c r="X13" s="501">
        <v>-8</v>
      </c>
      <c r="Y13" s="501">
        <v>-11</v>
      </c>
      <c r="Z13" s="501">
        <v>-14</v>
      </c>
      <c r="AA13" s="501">
        <v>-16</v>
      </c>
      <c r="AB13" s="501">
        <v>-17</v>
      </c>
      <c r="AC13" s="501">
        <v>-20</v>
      </c>
      <c r="AD13" s="501">
        <v>-20</v>
      </c>
      <c r="AE13" s="501">
        <v>-22</v>
      </c>
      <c r="AF13" s="501">
        <v>-22</v>
      </c>
      <c r="AG13" s="501">
        <v>-23</v>
      </c>
      <c r="AH13" s="501">
        <v>-23</v>
      </c>
      <c r="AI13" s="501">
        <v>-25</v>
      </c>
      <c r="AJ13" s="501">
        <v>-25</v>
      </c>
      <c r="AK13" s="501">
        <v>-25</v>
      </c>
      <c r="AL13" s="501">
        <v>-25</v>
      </c>
      <c r="AM13" s="501">
        <v>-25</v>
      </c>
      <c r="AN13" s="501">
        <v>-25</v>
      </c>
      <c r="AO13" s="501">
        <v>-25</v>
      </c>
      <c r="AP13" s="501">
        <v>-28</v>
      </c>
      <c r="AQ13" s="501">
        <v>-28</v>
      </c>
      <c r="AR13" s="501">
        <v>-28</v>
      </c>
      <c r="AS13" s="501">
        <v>-28</v>
      </c>
      <c r="AT13" s="501">
        <v>-28</v>
      </c>
      <c r="AU13" s="501">
        <v>-30</v>
      </c>
      <c r="AV13" s="501">
        <v>-30</v>
      </c>
      <c r="AW13" s="501">
        <v>-30</v>
      </c>
      <c r="AX13" s="501">
        <v>-30</v>
      </c>
      <c r="AY13" s="501">
        <v>-30</v>
      </c>
      <c r="AZ13" s="501">
        <v>-31</v>
      </c>
      <c r="BA13" s="501">
        <v>-31</v>
      </c>
      <c r="BB13" s="501">
        <v>-31</v>
      </c>
      <c r="BC13" s="501">
        <v>-31</v>
      </c>
      <c r="BD13" s="501">
        <v>-31</v>
      </c>
      <c r="BE13" s="501">
        <v>-31</v>
      </c>
      <c r="BF13" s="31"/>
    </row>
    <row r="14" spans="1:58">
      <c r="A14" s="500"/>
      <c r="B14" s="643" t="s">
        <v>681</v>
      </c>
      <c r="C14" s="502">
        <v>57</v>
      </c>
      <c r="D14" s="502">
        <v>61</v>
      </c>
      <c r="E14" s="503" t="s">
        <v>220</v>
      </c>
      <c r="F14" s="503"/>
      <c r="G14" s="500"/>
      <c r="H14" s="500"/>
      <c r="I14" s="500"/>
      <c r="J14" s="500"/>
      <c r="K14" s="500"/>
      <c r="L14" s="298"/>
      <c r="M14" s="501"/>
      <c r="N14" s="501"/>
      <c r="O14" s="501"/>
      <c r="P14" s="501"/>
      <c r="Q14" s="501"/>
      <c r="R14" s="501"/>
      <c r="S14" s="501"/>
      <c r="T14" s="501"/>
      <c r="U14" s="501"/>
      <c r="V14" s="501"/>
      <c r="W14" s="501"/>
      <c r="X14" s="501"/>
      <c r="Y14" s="501"/>
      <c r="Z14" s="501"/>
      <c r="AA14" s="501"/>
      <c r="AB14" s="501"/>
      <c r="AC14" s="501"/>
      <c r="AD14" s="501"/>
      <c r="AE14" s="501"/>
      <c r="AF14" s="501"/>
      <c r="AG14" s="501"/>
      <c r="AH14" s="501"/>
      <c r="AI14" s="501"/>
      <c r="AJ14" s="501"/>
      <c r="AK14" s="501"/>
      <c r="AL14" s="501"/>
      <c r="AM14" s="501"/>
      <c r="AN14" s="501"/>
      <c r="AO14" s="501"/>
      <c r="AP14" s="501"/>
      <c r="AQ14" s="501"/>
      <c r="AR14" s="501"/>
      <c r="AS14" s="501"/>
      <c r="AT14" s="501"/>
      <c r="AU14" s="501"/>
      <c r="AV14" s="501"/>
      <c r="AW14" s="501"/>
      <c r="AX14" s="501"/>
      <c r="AY14" s="501"/>
      <c r="AZ14" s="501"/>
      <c r="BA14" s="501"/>
      <c r="BB14" s="501"/>
      <c r="BC14" s="501"/>
      <c r="BD14" s="501"/>
      <c r="BE14" s="501"/>
      <c r="BF14" s="31"/>
    </row>
    <row r="15" spans="1:58">
      <c r="A15" s="500"/>
      <c r="B15" s="643" t="s">
        <v>813</v>
      </c>
      <c r="C15" s="502">
        <v>57</v>
      </c>
      <c r="D15" s="502">
        <v>64</v>
      </c>
      <c r="E15" s="503"/>
      <c r="F15" s="503"/>
      <c r="G15" s="500"/>
      <c r="H15" s="500"/>
      <c r="I15" s="500"/>
      <c r="J15" s="500"/>
      <c r="K15" s="500"/>
      <c r="L15" s="298"/>
      <c r="M15" s="501"/>
      <c r="N15" s="501"/>
      <c r="O15" s="501"/>
      <c r="P15" s="501"/>
      <c r="Q15" s="501"/>
      <c r="R15" s="501"/>
      <c r="S15" s="501"/>
      <c r="T15" s="501"/>
      <c r="U15" s="501"/>
      <c r="V15" s="501"/>
      <c r="W15" s="501"/>
      <c r="X15" s="501"/>
      <c r="Y15" s="501"/>
      <c r="Z15" s="501"/>
      <c r="AA15" s="501"/>
      <c r="AB15" s="501"/>
      <c r="AC15" s="501"/>
      <c r="AD15" s="501"/>
      <c r="AE15" s="501"/>
      <c r="AF15" s="501"/>
      <c r="AG15" s="501"/>
      <c r="AH15" s="501"/>
      <c r="AI15" s="501"/>
      <c r="AJ15" s="501"/>
      <c r="AK15" s="501"/>
      <c r="AL15" s="501"/>
      <c r="AM15" s="501"/>
      <c r="AN15" s="501"/>
      <c r="AO15" s="501"/>
      <c r="AP15" s="501"/>
      <c r="AQ15" s="501"/>
      <c r="AR15" s="501"/>
      <c r="AS15" s="501"/>
      <c r="AT15" s="501"/>
      <c r="AU15" s="501"/>
      <c r="AV15" s="501"/>
      <c r="AW15" s="501"/>
      <c r="AX15" s="501"/>
      <c r="AY15" s="501"/>
      <c r="AZ15" s="501"/>
      <c r="BA15" s="501"/>
      <c r="BB15" s="501"/>
      <c r="BC15" s="501"/>
      <c r="BD15" s="501"/>
      <c r="BE15" s="501"/>
      <c r="BF15" s="31"/>
    </row>
    <row r="16" spans="1:58" ht="16.5" customHeight="1">
      <c r="A16" s="500"/>
      <c r="B16" s="643" t="s">
        <v>814</v>
      </c>
      <c r="C16" s="502">
        <v>59</v>
      </c>
      <c r="D16" s="502">
        <v>64</v>
      </c>
      <c r="E16" s="764" t="s">
        <v>907</v>
      </c>
      <c r="F16" s="757"/>
      <c r="G16" s="757"/>
      <c r="H16" s="757"/>
      <c r="I16" s="757"/>
      <c r="J16" s="757"/>
      <c r="K16" s="757"/>
      <c r="L16" s="298"/>
      <c r="M16" s="501"/>
      <c r="N16" s="501"/>
      <c r="O16" s="501"/>
      <c r="P16" s="501"/>
      <c r="Q16" s="501"/>
      <c r="R16" s="501"/>
      <c r="S16" s="501"/>
      <c r="T16" s="501"/>
      <c r="U16" s="501"/>
      <c r="V16" s="501"/>
      <c r="W16" s="501"/>
      <c r="X16" s="501"/>
      <c r="Y16" s="501"/>
      <c r="Z16" s="501"/>
      <c r="AA16" s="501"/>
      <c r="AB16" s="501"/>
      <c r="AC16" s="501"/>
      <c r="AD16" s="501"/>
      <c r="AE16" s="501"/>
      <c r="AF16" s="501"/>
      <c r="AG16" s="501"/>
      <c r="AH16" s="501"/>
      <c r="AI16" s="501"/>
      <c r="AJ16" s="501"/>
      <c r="AK16" s="501"/>
      <c r="AL16" s="501"/>
      <c r="AM16" s="501"/>
      <c r="AN16" s="501"/>
      <c r="AO16" s="501"/>
      <c r="AP16" s="501"/>
      <c r="AQ16" s="501"/>
      <c r="AR16" s="501"/>
      <c r="AS16" s="501"/>
      <c r="AT16" s="501"/>
      <c r="AU16" s="501"/>
      <c r="AV16" s="501"/>
      <c r="AW16" s="501"/>
      <c r="AX16" s="501"/>
      <c r="AY16" s="501"/>
      <c r="AZ16" s="501"/>
      <c r="BA16" s="501"/>
      <c r="BB16" s="501"/>
      <c r="BC16" s="501"/>
      <c r="BD16" s="501"/>
      <c r="BE16" s="501"/>
      <c r="BF16" s="31"/>
    </row>
    <row r="17" spans="1:58" ht="14.25" customHeight="1">
      <c r="A17" s="500"/>
      <c r="B17" s="643" t="s">
        <v>682</v>
      </c>
      <c r="C17" s="502">
        <v>60</v>
      </c>
      <c r="D17" s="502">
        <v>64</v>
      </c>
      <c r="E17" s="764"/>
      <c r="F17" s="757"/>
      <c r="G17" s="757"/>
      <c r="H17" s="757"/>
      <c r="I17" s="757"/>
      <c r="J17" s="757"/>
      <c r="K17" s="757"/>
      <c r="L17" s="298"/>
      <c r="M17" s="501"/>
      <c r="N17" s="501"/>
      <c r="O17" s="501"/>
      <c r="P17" s="501"/>
      <c r="Q17" s="501"/>
      <c r="R17" s="501"/>
      <c r="S17" s="501"/>
      <c r="T17" s="501"/>
      <c r="U17" s="501"/>
      <c r="V17" s="501"/>
      <c r="W17" s="501"/>
      <c r="X17" s="501"/>
      <c r="Y17" s="501"/>
      <c r="Z17" s="501"/>
      <c r="AA17" s="501"/>
      <c r="AB17" s="501"/>
      <c r="AC17" s="501"/>
      <c r="AD17" s="501"/>
      <c r="AE17" s="501"/>
      <c r="AF17" s="501"/>
      <c r="AG17" s="501"/>
      <c r="AH17" s="501"/>
      <c r="AI17" s="501"/>
      <c r="AJ17" s="501"/>
      <c r="AK17" s="501"/>
      <c r="AL17" s="501"/>
      <c r="AM17" s="501"/>
      <c r="AN17" s="501"/>
      <c r="AO17" s="501"/>
      <c r="AP17" s="501"/>
      <c r="AQ17" s="501"/>
      <c r="AR17" s="501"/>
      <c r="AS17" s="501"/>
      <c r="AT17" s="501"/>
      <c r="AU17" s="501"/>
      <c r="AV17" s="501"/>
      <c r="AW17" s="501"/>
      <c r="AX17" s="501"/>
      <c r="AY17" s="501"/>
      <c r="AZ17" s="501"/>
      <c r="BA17" s="501"/>
      <c r="BB17" s="501"/>
      <c r="BC17" s="501"/>
      <c r="BD17" s="501"/>
      <c r="BE17" s="501"/>
      <c r="BF17" s="31"/>
    </row>
    <row r="18" spans="1:58">
      <c r="A18" s="500"/>
      <c r="B18" s="643" t="s">
        <v>683</v>
      </c>
      <c r="C18" s="502">
        <v>61</v>
      </c>
      <c r="D18" s="502">
        <v>66</v>
      </c>
      <c r="E18" s="503" t="s">
        <v>214</v>
      </c>
      <c r="F18" s="503"/>
      <c r="G18" s="500"/>
      <c r="H18" s="500"/>
      <c r="I18" s="500"/>
      <c r="J18" s="500"/>
      <c r="K18" s="500"/>
      <c r="L18" s="298"/>
      <c r="M18" s="501"/>
      <c r="N18" s="501"/>
      <c r="O18" s="501"/>
      <c r="P18" s="501"/>
      <c r="Q18" s="501"/>
      <c r="R18" s="501"/>
      <c r="S18" s="501"/>
      <c r="T18" s="501"/>
      <c r="U18" s="501"/>
      <c r="V18" s="501"/>
      <c r="W18" s="501"/>
      <c r="X18" s="501"/>
      <c r="Y18" s="501"/>
      <c r="Z18" s="501"/>
      <c r="AA18" s="501"/>
      <c r="AB18" s="501"/>
      <c r="AC18" s="501"/>
      <c r="AD18" s="501"/>
      <c r="AE18" s="501"/>
      <c r="AF18" s="501"/>
      <c r="AG18" s="501"/>
      <c r="AH18" s="501"/>
      <c r="AI18" s="501"/>
      <c r="AJ18" s="501"/>
      <c r="AK18" s="501"/>
      <c r="AL18" s="501"/>
      <c r="AM18" s="501"/>
      <c r="AN18" s="501"/>
      <c r="AO18" s="501"/>
      <c r="AP18" s="501"/>
      <c r="AQ18" s="501"/>
      <c r="AR18" s="501"/>
      <c r="AS18" s="501"/>
      <c r="AT18" s="501"/>
      <c r="AU18" s="501"/>
      <c r="AV18" s="501"/>
      <c r="AW18" s="501"/>
      <c r="AX18" s="501"/>
      <c r="AY18" s="501"/>
      <c r="AZ18" s="501"/>
      <c r="BA18" s="501"/>
      <c r="BB18" s="501"/>
      <c r="BC18" s="501"/>
      <c r="BD18" s="501"/>
      <c r="BE18" s="501"/>
      <c r="BF18" s="31"/>
    </row>
    <row r="19" spans="1:58">
      <c r="A19" s="500"/>
      <c r="B19" s="643" t="s">
        <v>1143</v>
      </c>
      <c r="C19" s="502">
        <v>46</v>
      </c>
      <c r="D19" s="502">
        <v>57</v>
      </c>
      <c r="E19" s="503" t="s">
        <v>221</v>
      </c>
      <c r="F19" s="503"/>
      <c r="G19" s="500"/>
      <c r="H19" s="500"/>
      <c r="I19" s="500"/>
      <c r="J19" s="500"/>
      <c r="K19" s="500"/>
      <c r="L19" s="298"/>
      <c r="M19" s="501"/>
      <c r="N19" s="501"/>
      <c r="O19" s="501"/>
      <c r="P19" s="501"/>
      <c r="Q19" s="501"/>
      <c r="R19" s="501"/>
      <c r="S19" s="501"/>
      <c r="T19" s="501"/>
      <c r="U19" s="501"/>
      <c r="V19" s="501"/>
      <c r="W19" s="501"/>
      <c r="X19" s="501"/>
      <c r="Y19" s="501"/>
      <c r="Z19" s="501"/>
      <c r="AA19" s="501"/>
      <c r="AB19" s="501"/>
      <c r="AC19" s="501"/>
      <c r="AD19" s="501"/>
      <c r="AE19" s="501"/>
      <c r="AF19" s="501"/>
      <c r="AG19" s="501"/>
      <c r="AH19" s="501"/>
      <c r="AI19" s="501"/>
      <c r="AJ19" s="501"/>
      <c r="AK19" s="501"/>
      <c r="AL19" s="501"/>
      <c r="AM19" s="501"/>
      <c r="AN19" s="501"/>
      <c r="AO19" s="501"/>
      <c r="AP19" s="501"/>
      <c r="AQ19" s="501"/>
      <c r="AR19" s="501"/>
      <c r="AS19" s="501"/>
      <c r="AT19" s="501"/>
      <c r="AU19" s="501"/>
      <c r="AV19" s="501"/>
      <c r="AW19" s="501"/>
      <c r="AX19" s="501"/>
      <c r="AY19" s="501"/>
      <c r="AZ19" s="501"/>
      <c r="BA19" s="501"/>
      <c r="BB19" s="501"/>
      <c r="BC19" s="501"/>
      <c r="BD19" s="501"/>
      <c r="BE19" s="501"/>
      <c r="BF19" s="31"/>
    </row>
    <row r="20" spans="1:58">
      <c r="A20" s="500"/>
      <c r="B20" s="643" t="s">
        <v>1144</v>
      </c>
      <c r="C20" s="502">
        <v>50</v>
      </c>
      <c r="D20" s="502">
        <v>53</v>
      </c>
      <c r="E20" s="503" t="s">
        <v>222</v>
      </c>
      <c r="F20" s="503"/>
      <c r="G20" s="500"/>
      <c r="H20" s="500"/>
      <c r="I20" s="500"/>
      <c r="J20" s="500"/>
      <c r="K20" s="500"/>
      <c r="L20" s="298"/>
      <c r="M20" s="501"/>
      <c r="N20" s="501"/>
      <c r="O20" s="501"/>
      <c r="P20" s="501"/>
      <c r="Q20" s="501"/>
      <c r="R20" s="501"/>
      <c r="S20" s="501"/>
      <c r="T20" s="501"/>
      <c r="U20" s="501"/>
      <c r="V20" s="501"/>
      <c r="W20" s="501"/>
      <c r="X20" s="501"/>
      <c r="Y20" s="501"/>
      <c r="Z20" s="501"/>
      <c r="AA20" s="501"/>
      <c r="AB20" s="501"/>
      <c r="AC20" s="501"/>
      <c r="AD20" s="501"/>
      <c r="AE20" s="501"/>
      <c r="AF20" s="501"/>
      <c r="AG20" s="501"/>
      <c r="AH20" s="501"/>
      <c r="AI20" s="501"/>
      <c r="AJ20" s="501"/>
      <c r="AK20" s="501"/>
      <c r="AL20" s="501"/>
      <c r="AM20" s="501"/>
      <c r="AN20" s="501"/>
      <c r="AO20" s="501"/>
      <c r="AP20" s="501"/>
      <c r="AQ20" s="501"/>
      <c r="AR20" s="501"/>
      <c r="AS20" s="501"/>
      <c r="AT20" s="501"/>
      <c r="AU20" s="501"/>
      <c r="AV20" s="501"/>
      <c r="AW20" s="501"/>
      <c r="AX20" s="501"/>
      <c r="AY20" s="501"/>
      <c r="AZ20" s="501"/>
      <c r="BA20" s="501"/>
      <c r="BB20" s="501"/>
      <c r="BC20" s="501"/>
      <c r="BD20" s="501"/>
      <c r="BE20" s="501"/>
      <c r="BF20" s="31"/>
    </row>
    <row r="21" spans="1:58" ht="16.5" customHeight="1">
      <c r="A21" s="500"/>
      <c r="B21" s="643" t="s">
        <v>1145</v>
      </c>
      <c r="C21" s="502">
        <v>49</v>
      </c>
      <c r="D21" s="502">
        <v>62</v>
      </c>
      <c r="E21" s="503" t="s">
        <v>215</v>
      </c>
      <c r="F21" s="503"/>
      <c r="G21" s="500"/>
      <c r="H21" s="500"/>
      <c r="I21" s="500"/>
      <c r="J21" s="500"/>
      <c r="K21" s="500"/>
      <c r="L21" s="298"/>
      <c r="M21" s="501"/>
      <c r="N21" s="501"/>
      <c r="O21" s="501"/>
      <c r="P21" s="501"/>
      <c r="Q21" s="501"/>
      <c r="R21" s="501"/>
      <c r="S21" s="501"/>
      <c r="T21" s="501"/>
      <c r="U21" s="501"/>
      <c r="V21" s="501"/>
      <c r="W21" s="501"/>
      <c r="X21" s="501"/>
      <c r="Y21" s="501"/>
      <c r="Z21" s="501"/>
      <c r="AA21" s="501"/>
      <c r="AB21" s="501"/>
      <c r="AC21" s="501"/>
      <c r="AD21" s="501"/>
      <c r="AE21" s="501"/>
      <c r="AF21" s="501"/>
      <c r="AG21" s="501"/>
      <c r="AH21" s="501"/>
      <c r="AI21" s="501"/>
      <c r="AJ21" s="501"/>
      <c r="AK21" s="501"/>
      <c r="AL21" s="501"/>
      <c r="AM21" s="501"/>
      <c r="AN21" s="501"/>
      <c r="AO21" s="501"/>
      <c r="AP21" s="501"/>
      <c r="AQ21" s="501"/>
      <c r="AR21" s="501"/>
      <c r="AS21" s="501"/>
      <c r="AT21" s="501"/>
      <c r="AU21" s="501"/>
      <c r="AV21" s="501"/>
      <c r="AW21" s="501"/>
      <c r="AX21" s="501"/>
      <c r="AY21" s="501"/>
      <c r="AZ21" s="501"/>
      <c r="BA21" s="501"/>
      <c r="BB21" s="501"/>
      <c r="BC21" s="501"/>
      <c r="BD21" s="501"/>
      <c r="BE21" s="501"/>
      <c r="BF21" s="31"/>
    </row>
    <row r="22" spans="1:58" ht="15" customHeight="1">
      <c r="A22" s="500"/>
      <c r="B22" s="643" t="s">
        <v>1146</v>
      </c>
      <c r="C22" s="502">
        <v>50</v>
      </c>
      <c r="D22" s="502">
        <v>59</v>
      </c>
      <c r="E22" s="503" t="s">
        <v>263</v>
      </c>
      <c r="F22" s="503"/>
      <c r="G22" s="500"/>
      <c r="H22" s="500"/>
      <c r="I22" s="500"/>
      <c r="J22" s="500"/>
      <c r="K22" s="500"/>
      <c r="L22" s="298"/>
      <c r="M22" s="501"/>
      <c r="N22" s="501"/>
      <c r="O22" s="501"/>
      <c r="P22" s="501"/>
      <c r="Q22" s="501"/>
      <c r="R22" s="501"/>
      <c r="S22" s="501"/>
      <c r="T22" s="501"/>
      <c r="U22" s="501"/>
      <c r="V22" s="501"/>
      <c r="W22" s="501"/>
      <c r="X22" s="501"/>
      <c r="Y22" s="501"/>
      <c r="Z22" s="501"/>
      <c r="AA22" s="501"/>
      <c r="AB22" s="501"/>
      <c r="AC22" s="501"/>
      <c r="AD22" s="501"/>
      <c r="AE22" s="501"/>
      <c r="AF22" s="501"/>
      <c r="AG22" s="501"/>
      <c r="AH22" s="501"/>
      <c r="AI22" s="501"/>
      <c r="AJ22" s="501"/>
      <c r="AK22" s="501"/>
      <c r="AL22" s="501"/>
      <c r="AM22" s="501"/>
      <c r="AN22" s="501"/>
      <c r="AO22" s="501"/>
      <c r="AP22" s="501"/>
      <c r="AQ22" s="501"/>
      <c r="AR22" s="501"/>
      <c r="AS22" s="501"/>
      <c r="AT22" s="501"/>
      <c r="AU22" s="501"/>
      <c r="AV22" s="501"/>
      <c r="AW22" s="501"/>
      <c r="AX22" s="501"/>
      <c r="AY22" s="501"/>
      <c r="AZ22" s="501"/>
      <c r="BA22" s="501"/>
      <c r="BB22" s="501"/>
      <c r="BC22" s="501"/>
      <c r="BD22" s="501"/>
      <c r="BE22" s="501"/>
      <c r="BF22" s="31"/>
    </row>
    <row r="23" spans="1:58">
      <c r="A23" s="500"/>
      <c r="B23" s="643" t="s">
        <v>1147</v>
      </c>
      <c r="C23" s="502">
        <v>59</v>
      </c>
      <c r="D23" s="502">
        <v>61</v>
      </c>
      <c r="E23" s="503" t="s">
        <v>216</v>
      </c>
      <c r="F23" s="503"/>
      <c r="G23" s="500"/>
      <c r="H23" s="500"/>
      <c r="I23" s="500"/>
      <c r="J23" s="500"/>
      <c r="K23" s="500"/>
      <c r="L23" s="298"/>
      <c r="M23" s="501"/>
      <c r="N23" s="501"/>
      <c r="O23" s="501"/>
      <c r="P23" s="501"/>
      <c r="Q23" s="501"/>
      <c r="R23" s="501"/>
      <c r="S23" s="501"/>
      <c r="T23" s="501"/>
      <c r="U23" s="501"/>
      <c r="V23" s="501"/>
      <c r="W23" s="501"/>
      <c r="X23" s="501"/>
      <c r="Y23" s="501"/>
      <c r="Z23" s="501"/>
      <c r="AA23" s="501"/>
      <c r="AB23" s="501"/>
      <c r="AC23" s="501"/>
      <c r="AD23" s="501"/>
      <c r="AE23" s="501"/>
      <c r="AF23" s="501"/>
      <c r="AG23" s="501"/>
      <c r="AH23" s="501"/>
      <c r="AI23" s="501"/>
      <c r="AJ23" s="501"/>
      <c r="AK23" s="501"/>
      <c r="AL23" s="501"/>
      <c r="AM23" s="501"/>
      <c r="AN23" s="501"/>
      <c r="AO23" s="501"/>
      <c r="AP23" s="501"/>
      <c r="AQ23" s="501"/>
      <c r="AR23" s="501"/>
      <c r="AS23" s="501"/>
      <c r="AT23" s="501"/>
      <c r="AU23" s="501"/>
      <c r="AV23" s="501"/>
      <c r="AW23" s="501"/>
      <c r="AX23" s="501"/>
      <c r="AY23" s="501"/>
      <c r="AZ23" s="501"/>
      <c r="BA23" s="501"/>
      <c r="BB23" s="501"/>
      <c r="BC23" s="501"/>
      <c r="BD23" s="501"/>
      <c r="BE23" s="501"/>
      <c r="BF23" s="31"/>
    </row>
    <row r="24" spans="1:58" ht="15" thickBot="1">
      <c r="A24" s="500"/>
      <c r="B24" s="644" t="s">
        <v>1148</v>
      </c>
      <c r="C24" s="504">
        <v>60</v>
      </c>
      <c r="D24" s="504">
        <v>62</v>
      </c>
      <c r="E24" s="503" t="s">
        <v>264</v>
      </c>
      <c r="F24" s="503"/>
      <c r="G24" s="500"/>
      <c r="H24" s="500"/>
      <c r="I24" s="500"/>
      <c r="J24" s="500"/>
      <c r="K24" s="500"/>
      <c r="L24" s="298"/>
      <c r="M24" s="501"/>
      <c r="N24" s="501"/>
      <c r="O24" s="501"/>
      <c r="P24" s="501"/>
      <c r="Q24" s="501"/>
      <c r="R24" s="501"/>
      <c r="S24" s="501"/>
      <c r="T24" s="501"/>
      <c r="U24" s="501"/>
      <c r="V24" s="501"/>
      <c r="W24" s="501"/>
      <c r="X24" s="501"/>
      <c r="Y24" s="501"/>
      <c r="Z24" s="501"/>
      <c r="AA24" s="501"/>
      <c r="AB24" s="501"/>
      <c r="AC24" s="501"/>
      <c r="AD24" s="501"/>
      <c r="AE24" s="501"/>
      <c r="AF24" s="501"/>
      <c r="AG24" s="501"/>
      <c r="AH24" s="501"/>
      <c r="AI24" s="501"/>
      <c r="AJ24" s="501"/>
      <c r="AK24" s="501"/>
      <c r="AL24" s="501"/>
      <c r="AM24" s="501"/>
      <c r="AN24" s="501"/>
      <c r="AO24" s="501"/>
      <c r="AP24" s="501"/>
      <c r="AQ24" s="501"/>
      <c r="AR24" s="501"/>
      <c r="AS24" s="501"/>
      <c r="AT24" s="501"/>
      <c r="AU24" s="501"/>
      <c r="AV24" s="501"/>
      <c r="AW24" s="501"/>
      <c r="AX24" s="501"/>
      <c r="AY24" s="501"/>
      <c r="AZ24" s="501"/>
      <c r="BA24" s="501"/>
      <c r="BB24" s="501"/>
      <c r="BC24" s="501"/>
      <c r="BD24" s="501"/>
      <c r="BE24" s="501"/>
      <c r="BF24" s="31"/>
    </row>
    <row r="25" spans="1:58">
      <c r="A25" s="500"/>
      <c r="B25" s="500"/>
      <c r="C25" s="500"/>
      <c r="D25" s="500"/>
      <c r="E25" s="500" t="s">
        <v>223</v>
      </c>
      <c r="F25" s="500"/>
      <c r="G25" s="500"/>
      <c r="H25" s="500"/>
      <c r="I25" s="500"/>
      <c r="J25" s="500"/>
      <c r="K25" s="500"/>
      <c r="L25" s="298"/>
      <c r="M25" s="501"/>
      <c r="N25" s="501"/>
      <c r="O25" s="501"/>
      <c r="P25" s="501"/>
      <c r="Q25" s="501"/>
      <c r="R25" s="501"/>
      <c r="S25" s="501"/>
      <c r="T25" s="501"/>
      <c r="U25" s="501"/>
      <c r="V25" s="501"/>
      <c r="W25" s="501"/>
      <c r="X25" s="501"/>
      <c r="Y25" s="501"/>
      <c r="Z25" s="501"/>
      <c r="AA25" s="501"/>
      <c r="AB25" s="501"/>
      <c r="AC25" s="501"/>
      <c r="AD25" s="501"/>
      <c r="AE25" s="501"/>
      <c r="AF25" s="501"/>
      <c r="AG25" s="501"/>
      <c r="AH25" s="501"/>
      <c r="AI25" s="501"/>
      <c r="AJ25" s="501"/>
      <c r="AK25" s="501"/>
      <c r="AL25" s="501"/>
      <c r="AM25" s="501"/>
      <c r="AN25" s="501"/>
      <c r="AO25" s="501"/>
      <c r="AP25" s="501"/>
      <c r="AQ25" s="501"/>
      <c r="AR25" s="501"/>
      <c r="AS25" s="501"/>
      <c r="AT25" s="501"/>
      <c r="AU25" s="501"/>
      <c r="AV25" s="501"/>
      <c r="AW25" s="501"/>
      <c r="AX25" s="501"/>
      <c r="AY25" s="501"/>
      <c r="AZ25" s="501"/>
      <c r="BA25" s="501"/>
      <c r="BB25" s="501"/>
      <c r="BC25" s="501"/>
      <c r="BD25" s="501"/>
      <c r="BE25" s="501"/>
      <c r="BF25" s="31"/>
    </row>
    <row r="26" spans="1:58" ht="15" customHeight="1">
      <c r="A26" s="500"/>
      <c r="B26" s="500"/>
      <c r="C26" s="500"/>
      <c r="D26" s="500"/>
      <c r="E26" s="500"/>
      <c r="F26" s="500"/>
      <c r="G26" s="500"/>
      <c r="H26" s="500"/>
      <c r="I26" s="500"/>
      <c r="J26" s="500"/>
      <c r="K26" s="500"/>
      <c r="L26" s="298"/>
      <c r="M26" s="501"/>
      <c r="N26" s="501"/>
      <c r="O26" s="501"/>
      <c r="P26" s="501"/>
      <c r="Q26" s="501"/>
      <c r="R26" s="501"/>
      <c r="S26" s="501"/>
      <c r="T26" s="501"/>
      <c r="U26" s="501"/>
      <c r="V26" s="501"/>
      <c r="W26" s="501"/>
      <c r="X26" s="501"/>
      <c r="Y26" s="501"/>
      <c r="Z26" s="501"/>
      <c r="AA26" s="501"/>
      <c r="AB26" s="501"/>
      <c r="AC26" s="501"/>
      <c r="AD26" s="501"/>
      <c r="AE26" s="501"/>
      <c r="AF26" s="501"/>
      <c r="AG26" s="501"/>
      <c r="AH26" s="501"/>
      <c r="AI26" s="501"/>
      <c r="AJ26" s="501"/>
      <c r="AK26" s="501"/>
      <c r="AL26" s="501"/>
      <c r="AM26" s="501"/>
      <c r="AN26" s="501"/>
      <c r="AO26" s="501"/>
      <c r="AP26" s="501"/>
      <c r="AQ26" s="501"/>
      <c r="AR26" s="501"/>
      <c r="AS26" s="501"/>
      <c r="AT26" s="501"/>
      <c r="AU26" s="501"/>
      <c r="AV26" s="501"/>
      <c r="AW26" s="501"/>
      <c r="AX26" s="501"/>
      <c r="AY26" s="501"/>
      <c r="AZ26" s="501"/>
      <c r="BA26" s="501"/>
      <c r="BB26" s="501"/>
      <c r="BC26" s="501"/>
      <c r="BD26" s="501"/>
      <c r="BE26" s="501"/>
      <c r="BF26" s="31"/>
    </row>
    <row r="27" spans="1:58">
      <c r="A27" s="500"/>
      <c r="B27" s="500"/>
      <c r="C27" s="500"/>
      <c r="D27" s="500"/>
      <c r="E27" s="500"/>
      <c r="F27" s="500"/>
      <c r="G27" s="500"/>
      <c r="H27" s="500"/>
      <c r="I27" s="500"/>
      <c r="J27" s="500"/>
      <c r="K27" s="500"/>
      <c r="L27" s="298"/>
      <c r="M27" s="501"/>
      <c r="N27" s="501"/>
      <c r="O27" s="501"/>
      <c r="P27" s="501"/>
      <c r="Q27" s="501"/>
      <c r="R27" s="501"/>
      <c r="S27" s="501"/>
      <c r="T27" s="501"/>
      <c r="U27" s="501"/>
      <c r="V27" s="501"/>
      <c r="W27" s="501"/>
      <c r="X27" s="501"/>
      <c r="Y27" s="501"/>
      <c r="Z27" s="501"/>
      <c r="AA27" s="501"/>
      <c r="AB27" s="501"/>
      <c r="AC27" s="501"/>
      <c r="AD27" s="501"/>
      <c r="AE27" s="501"/>
      <c r="AF27" s="501"/>
      <c r="AG27" s="501"/>
      <c r="AH27" s="501"/>
      <c r="AI27" s="501"/>
      <c r="AJ27" s="501"/>
      <c r="AK27" s="501"/>
      <c r="AL27" s="501"/>
      <c r="AM27" s="501"/>
      <c r="AN27" s="501"/>
      <c r="AO27" s="501"/>
      <c r="AP27" s="501"/>
      <c r="AQ27" s="501"/>
      <c r="AR27" s="501"/>
      <c r="AS27" s="501"/>
      <c r="AT27" s="501"/>
      <c r="AU27" s="501"/>
      <c r="AV27" s="501"/>
      <c r="AW27" s="501"/>
      <c r="AX27" s="501"/>
      <c r="AY27" s="501"/>
      <c r="AZ27" s="501"/>
      <c r="BA27" s="501"/>
      <c r="BB27" s="501"/>
      <c r="BC27" s="501"/>
      <c r="BD27" s="501"/>
      <c r="BE27" s="501"/>
      <c r="BF27" s="31"/>
    </row>
    <row r="28" spans="1:58">
      <c r="A28" s="505" t="s">
        <v>163</v>
      </c>
      <c r="B28" s="500"/>
      <c r="C28" s="500"/>
      <c r="D28" s="500"/>
      <c r="E28" s="500"/>
      <c r="F28" s="500"/>
      <c r="G28" s="500"/>
      <c r="H28" s="500"/>
      <c r="I28" s="500"/>
      <c r="J28" s="500"/>
      <c r="K28" s="500" t="s">
        <v>164</v>
      </c>
      <c r="L28" s="298"/>
      <c r="M28" s="501"/>
      <c r="N28" s="501"/>
      <c r="O28" s="501"/>
      <c r="P28" s="501"/>
      <c r="Q28" s="501"/>
      <c r="R28" s="501"/>
      <c r="S28" s="501"/>
      <c r="T28" s="501"/>
      <c r="U28" s="501"/>
      <c r="V28" s="501"/>
      <c r="W28" s="501"/>
      <c r="X28" s="501"/>
      <c r="Y28" s="501"/>
      <c r="Z28" s="501"/>
      <c r="AA28" s="501"/>
      <c r="AB28" s="501"/>
      <c r="AC28" s="501"/>
      <c r="AD28" s="501"/>
      <c r="AE28" s="501"/>
      <c r="AF28" s="501"/>
      <c r="AG28" s="501"/>
      <c r="AH28" s="501"/>
      <c r="AI28" s="501"/>
      <c r="AJ28" s="501"/>
      <c r="AK28" s="501"/>
      <c r="AL28" s="501"/>
      <c r="AM28" s="501"/>
      <c r="AN28" s="501"/>
      <c r="AO28" s="501"/>
      <c r="AP28" s="501"/>
      <c r="AQ28" s="501"/>
      <c r="AR28" s="501"/>
      <c r="AS28" s="501"/>
      <c r="AT28" s="501"/>
      <c r="AU28" s="501"/>
      <c r="AV28" s="501"/>
      <c r="AW28" s="501"/>
      <c r="AX28" s="501"/>
      <c r="AY28" s="501"/>
      <c r="AZ28" s="501"/>
      <c r="BA28" s="501"/>
      <c r="BB28" s="501"/>
      <c r="BC28" s="501"/>
      <c r="BD28" s="501"/>
      <c r="BE28" s="501"/>
      <c r="BF28" s="31"/>
    </row>
    <row r="29" spans="1:58">
      <c r="A29" s="505">
        <v>0</v>
      </c>
      <c r="B29" s="500" t="s">
        <v>213</v>
      </c>
      <c r="C29" s="500"/>
      <c r="D29" s="500"/>
      <c r="E29" s="500"/>
      <c r="F29" s="500"/>
      <c r="G29" s="500"/>
      <c r="H29" s="500"/>
      <c r="I29" s="506" t="str">
        <f>VLOOKUP(equipment!E8,O80:P104,2,FALSE)</f>
        <v>Samsung 9kW mono</v>
      </c>
      <c r="J29" s="500"/>
      <c r="K29" s="500"/>
      <c r="L29" s="298"/>
      <c r="M29" s="501"/>
      <c r="N29" s="501"/>
      <c r="O29" s="501"/>
      <c r="P29" s="501"/>
      <c r="Q29" s="501"/>
      <c r="R29" s="501"/>
      <c r="S29" s="501"/>
      <c r="T29" s="501"/>
      <c r="U29" s="501"/>
      <c r="V29" s="501"/>
      <c r="W29" s="501"/>
      <c r="X29" s="501"/>
      <c r="Y29" s="501"/>
      <c r="Z29" s="501"/>
      <c r="AA29" s="501"/>
      <c r="AB29" s="501"/>
      <c r="AC29" s="501"/>
      <c r="AD29" s="501"/>
      <c r="AE29" s="501"/>
      <c r="AF29" s="501"/>
      <c r="AG29" s="501"/>
      <c r="AH29" s="501"/>
      <c r="AI29" s="501"/>
      <c r="AJ29" s="501"/>
      <c r="AK29" s="501"/>
      <c r="AL29" s="501"/>
      <c r="AM29" s="501"/>
      <c r="AN29" s="501"/>
      <c r="AO29" s="501"/>
      <c r="AP29" s="501"/>
      <c r="AQ29" s="501"/>
      <c r="AR29" s="501"/>
      <c r="AS29" s="501"/>
      <c r="AT29" s="501"/>
      <c r="AU29" s="501"/>
      <c r="AV29" s="501"/>
      <c r="AW29" s="501"/>
      <c r="AX29" s="501"/>
      <c r="AY29" s="501"/>
      <c r="AZ29" s="501"/>
      <c r="BA29" s="501"/>
      <c r="BB29" s="501"/>
      <c r="BC29" s="501"/>
      <c r="BD29" s="501"/>
      <c r="BE29" s="501"/>
      <c r="BF29" s="31"/>
    </row>
    <row r="30" spans="1:58">
      <c r="A30" s="505">
        <v>1</v>
      </c>
      <c r="B30" s="500" t="s">
        <v>265</v>
      </c>
      <c r="C30" s="500"/>
      <c r="D30" s="500"/>
      <c r="E30" s="500"/>
      <c r="F30" s="500"/>
      <c r="G30" s="500"/>
      <c r="H30" s="500"/>
      <c r="I30" s="500"/>
      <c r="J30" s="500"/>
      <c r="K30" s="49">
        <f>VLOOKUP(I29,$B$9:$D$24,2,FALSE)</f>
        <v>63</v>
      </c>
      <c r="L30" s="298" t="s">
        <v>167</v>
      </c>
      <c r="M30" s="501"/>
      <c r="N30" s="501"/>
      <c r="O30" s="501"/>
      <c r="P30" s="501"/>
      <c r="Q30" s="501"/>
      <c r="R30" s="501"/>
      <c r="S30" s="501"/>
      <c r="T30" s="501"/>
      <c r="U30" s="501"/>
      <c r="V30" s="501"/>
      <c r="W30" s="501"/>
      <c r="X30" s="501"/>
      <c r="Y30" s="501"/>
      <c r="Z30" s="501"/>
      <c r="AA30" s="501"/>
      <c r="AB30" s="501"/>
      <c r="AC30" s="501"/>
      <c r="AD30" s="501"/>
      <c r="AE30" s="501"/>
      <c r="AF30" s="501"/>
      <c r="AG30" s="501"/>
      <c r="AH30" s="501"/>
      <c r="AI30" s="501"/>
      <c r="AJ30" s="501"/>
      <c r="AK30" s="501"/>
      <c r="AL30" s="501"/>
      <c r="AM30" s="501"/>
      <c r="AN30" s="501"/>
      <c r="AO30" s="501"/>
      <c r="AP30" s="501"/>
      <c r="AQ30" s="501"/>
      <c r="AR30" s="501"/>
      <c r="AS30" s="501"/>
      <c r="AT30" s="501"/>
      <c r="AU30" s="501"/>
      <c r="AV30" s="501"/>
      <c r="AW30" s="501"/>
      <c r="AX30" s="501"/>
      <c r="AY30" s="501"/>
      <c r="AZ30" s="501"/>
      <c r="BA30" s="501"/>
      <c r="BB30" s="501"/>
      <c r="BC30" s="501"/>
      <c r="BD30" s="501"/>
      <c r="BE30" s="501"/>
      <c r="BF30" s="31"/>
    </row>
    <row r="31" spans="1:58">
      <c r="A31" s="505">
        <v>2</v>
      </c>
      <c r="B31" s="500" t="s">
        <v>266</v>
      </c>
      <c r="C31" s="500"/>
      <c r="D31" s="500"/>
      <c r="E31" s="500"/>
      <c r="F31" s="500"/>
      <c r="G31" s="500"/>
      <c r="H31" s="500"/>
      <c r="I31" s="500"/>
      <c r="J31" s="500"/>
      <c r="K31" s="49">
        <f>VLOOKUP(I29,$B$9:$D$24,3,FALSE)</f>
        <v>48</v>
      </c>
      <c r="L31" s="298" t="s">
        <v>167</v>
      </c>
      <c r="M31" s="501"/>
      <c r="N31" s="501"/>
      <c r="O31" s="501"/>
      <c r="P31" s="501"/>
      <c r="Q31" s="501" t="str">
        <f>IF(I29=B21,"Ground",IF(I29=B22,"Ground",IF(I29=B23,"Ground",IF(I29=B24,"Ground","Air"))))</f>
        <v>Air</v>
      </c>
      <c r="R31" s="501"/>
      <c r="S31" s="501"/>
      <c r="T31" s="501"/>
      <c r="U31" s="501"/>
      <c r="V31" s="501"/>
      <c r="W31" s="501"/>
      <c r="X31" s="501"/>
      <c r="Y31" s="501"/>
      <c r="Z31" s="501"/>
      <c r="AA31" s="501"/>
      <c r="AB31" s="501"/>
      <c r="AC31" s="501"/>
      <c r="AD31" s="501"/>
      <c r="AE31" s="501"/>
      <c r="AF31" s="501"/>
      <c r="AG31" s="501"/>
      <c r="AH31" s="501"/>
      <c r="AI31" s="501"/>
      <c r="AJ31" s="501"/>
      <c r="AK31" s="501"/>
      <c r="AL31" s="501"/>
      <c r="AM31" s="501"/>
      <c r="AN31" s="501"/>
      <c r="AO31" s="501"/>
      <c r="AP31" s="501"/>
      <c r="AQ31" s="501"/>
      <c r="AR31" s="501"/>
      <c r="AS31" s="501"/>
      <c r="AT31" s="501"/>
      <c r="AU31" s="501"/>
      <c r="AV31" s="501"/>
      <c r="AW31" s="501"/>
      <c r="AX31" s="501"/>
      <c r="AY31" s="501"/>
      <c r="AZ31" s="501"/>
      <c r="BA31" s="501"/>
      <c r="BB31" s="501"/>
      <c r="BC31" s="501"/>
      <c r="BD31" s="501"/>
      <c r="BE31" s="501"/>
      <c r="BF31" s="31"/>
    </row>
    <row r="32" spans="1:58">
      <c r="A32" s="505" t="s">
        <v>168</v>
      </c>
      <c r="B32" s="500" t="s">
        <v>169</v>
      </c>
      <c r="C32" s="500"/>
      <c r="D32" s="500"/>
      <c r="E32" s="500"/>
      <c r="F32" s="500"/>
      <c r="G32" s="500"/>
      <c r="H32" s="500"/>
      <c r="I32" s="11">
        <v>3</v>
      </c>
      <c r="J32" s="500"/>
      <c r="K32" s="49">
        <f>VLOOKUP(I32,$Q$41:$R$45,2,FALSE)</f>
        <v>8</v>
      </c>
      <c r="L32" s="298" t="s">
        <v>166</v>
      </c>
      <c r="M32" s="501"/>
      <c r="N32" s="501"/>
      <c r="O32" s="501"/>
      <c r="P32" s="501"/>
      <c r="Q32" s="501"/>
      <c r="R32" s="501"/>
      <c r="S32" s="501"/>
      <c r="T32" s="501"/>
      <c r="U32" s="501"/>
      <c r="V32" s="501"/>
      <c r="W32" s="501"/>
      <c r="X32" s="501"/>
      <c r="Y32" s="501"/>
      <c r="Z32" s="501"/>
      <c r="AA32" s="501"/>
      <c r="AB32" s="501"/>
      <c r="AC32" s="501"/>
      <c r="AD32" s="501"/>
      <c r="AE32" s="501"/>
      <c r="AF32" s="501"/>
      <c r="AG32" s="501"/>
      <c r="AH32" s="501"/>
      <c r="AI32" s="501"/>
      <c r="AJ32" s="501"/>
      <c r="AK32" s="501"/>
      <c r="AL32" s="501"/>
      <c r="AM32" s="501"/>
      <c r="AN32" s="501"/>
      <c r="AO32" s="501"/>
      <c r="AP32" s="501"/>
      <c r="AQ32" s="501"/>
      <c r="AR32" s="501"/>
      <c r="AS32" s="501"/>
      <c r="AT32" s="501"/>
      <c r="AU32" s="501"/>
      <c r="AV32" s="501"/>
      <c r="AW32" s="501"/>
      <c r="AX32" s="501"/>
      <c r="AY32" s="501"/>
      <c r="AZ32" s="501"/>
      <c r="BA32" s="501"/>
      <c r="BB32" s="501"/>
      <c r="BC32" s="501"/>
      <c r="BD32" s="501"/>
      <c r="BE32" s="501"/>
      <c r="BF32" s="31"/>
    </row>
    <row r="33" spans="1:58">
      <c r="A33" s="505">
        <v>3</v>
      </c>
      <c r="B33" s="500" t="s">
        <v>171</v>
      </c>
      <c r="C33" s="500"/>
      <c r="D33" s="500"/>
      <c r="E33" s="500"/>
      <c r="F33" s="500"/>
      <c r="G33" s="500"/>
      <c r="H33" s="500"/>
      <c r="I33" s="500"/>
      <c r="J33" s="500"/>
      <c r="K33" s="500"/>
      <c r="L33" s="298"/>
      <c r="M33" s="501"/>
      <c r="N33" s="501"/>
      <c r="O33" s="501"/>
      <c r="P33" s="501"/>
      <c r="Q33" s="501"/>
      <c r="R33" s="501"/>
      <c r="S33" s="501"/>
      <c r="T33" s="501"/>
      <c r="U33" s="501"/>
      <c r="V33" s="501"/>
      <c r="W33" s="501"/>
      <c r="X33" s="501"/>
      <c r="Y33" s="501"/>
      <c r="Z33" s="501"/>
      <c r="AA33" s="501"/>
      <c r="AB33" s="501"/>
      <c r="AC33" s="501"/>
      <c r="AD33" s="501"/>
      <c r="AE33" s="501"/>
      <c r="AF33" s="501"/>
      <c r="AG33" s="501"/>
      <c r="AH33" s="501"/>
      <c r="AI33" s="501"/>
      <c r="AJ33" s="501"/>
      <c r="AK33" s="501"/>
      <c r="AL33" s="501"/>
      <c r="AM33" s="501"/>
      <c r="AN33" s="501"/>
      <c r="AO33" s="501"/>
      <c r="AP33" s="501"/>
      <c r="AQ33" s="501"/>
      <c r="AR33" s="501"/>
      <c r="AS33" s="501"/>
      <c r="AT33" s="501"/>
      <c r="AU33" s="501"/>
      <c r="AV33" s="501"/>
      <c r="AW33" s="501"/>
      <c r="AX33" s="501"/>
      <c r="AY33" s="501"/>
      <c r="AZ33" s="501"/>
      <c r="BA33" s="501"/>
      <c r="BB33" s="501"/>
      <c r="BC33" s="501"/>
      <c r="BD33" s="501"/>
      <c r="BE33" s="501"/>
      <c r="BF33" s="31"/>
    </row>
    <row r="34" spans="1:58">
      <c r="A34" s="505"/>
      <c r="B34" s="500" t="s">
        <v>172</v>
      </c>
      <c r="C34" s="500"/>
      <c r="D34" s="500"/>
      <c r="E34" s="500"/>
      <c r="F34" s="500"/>
      <c r="G34" s="500"/>
      <c r="H34" s="500"/>
      <c r="I34" s="500"/>
      <c r="J34" s="500"/>
      <c r="K34" s="500"/>
      <c r="L34" s="298"/>
      <c r="M34" s="501"/>
      <c r="N34" s="501"/>
      <c r="O34" s="501"/>
      <c r="P34" s="501"/>
      <c r="Q34" s="501"/>
      <c r="R34" s="501"/>
      <c r="S34" s="501"/>
      <c r="T34" s="501"/>
      <c r="U34" s="501"/>
      <c r="V34" s="501"/>
      <c r="W34" s="501"/>
      <c r="X34" s="501"/>
      <c r="Y34" s="501"/>
      <c r="Z34" s="501"/>
      <c r="AA34" s="501"/>
      <c r="AB34" s="501"/>
      <c r="AC34" s="501"/>
      <c r="AD34" s="501"/>
      <c r="AE34" s="501"/>
      <c r="AF34" s="501"/>
      <c r="AG34" s="501"/>
      <c r="AH34" s="501"/>
      <c r="AI34" s="501"/>
      <c r="AJ34" s="501"/>
      <c r="AK34" s="501"/>
      <c r="AL34" s="501"/>
      <c r="AM34" s="501"/>
      <c r="AN34" s="501"/>
      <c r="AO34" s="501"/>
      <c r="AP34" s="501"/>
      <c r="AQ34" s="501"/>
      <c r="AR34" s="501"/>
      <c r="AS34" s="501"/>
      <c r="AT34" s="501"/>
      <c r="AU34" s="501"/>
      <c r="AV34" s="501"/>
      <c r="AW34" s="501"/>
      <c r="AX34" s="501"/>
      <c r="AY34" s="501"/>
      <c r="AZ34" s="501"/>
      <c r="BA34" s="501"/>
      <c r="BB34" s="501"/>
      <c r="BC34" s="501"/>
      <c r="BD34" s="501"/>
      <c r="BE34" s="501"/>
      <c r="BF34" s="31"/>
    </row>
    <row r="35" spans="1:58">
      <c r="A35" s="505" t="s">
        <v>174</v>
      </c>
      <c r="B35" s="500" t="s">
        <v>175</v>
      </c>
      <c r="C35" s="500"/>
      <c r="D35" s="500"/>
      <c r="E35" s="500"/>
      <c r="F35" s="500"/>
      <c r="G35" s="500"/>
      <c r="H35" s="500"/>
      <c r="I35" s="11">
        <v>10</v>
      </c>
      <c r="J35" s="500" t="s">
        <v>56</v>
      </c>
      <c r="K35" s="49">
        <f>I35</f>
        <v>10</v>
      </c>
      <c r="L35" s="298"/>
      <c r="M35" s="501"/>
      <c r="N35" s="501"/>
      <c r="O35" s="501"/>
      <c r="P35" s="501"/>
      <c r="Q35" s="501"/>
      <c r="R35" s="501"/>
      <c r="S35" s="501"/>
      <c r="T35" s="501"/>
      <c r="U35" s="501"/>
      <c r="V35" s="501"/>
      <c r="W35" s="501"/>
      <c r="X35" s="501"/>
      <c r="Y35" s="501"/>
      <c r="Z35" s="501"/>
      <c r="AA35" s="501"/>
      <c r="AB35" s="501"/>
      <c r="AC35" s="501"/>
      <c r="AD35" s="501"/>
      <c r="AE35" s="501"/>
      <c r="AF35" s="501"/>
      <c r="AG35" s="501"/>
      <c r="AH35" s="501"/>
      <c r="AI35" s="501"/>
      <c r="AJ35" s="501"/>
      <c r="AK35" s="501"/>
      <c r="AL35" s="501"/>
      <c r="AM35" s="501"/>
      <c r="AN35" s="501"/>
      <c r="AO35" s="501"/>
      <c r="AP35" s="501"/>
      <c r="AQ35" s="501"/>
      <c r="AR35" s="501"/>
      <c r="AS35" s="501"/>
      <c r="AT35" s="501"/>
      <c r="AU35" s="501"/>
      <c r="AV35" s="501"/>
      <c r="AW35" s="501"/>
      <c r="AX35" s="501"/>
      <c r="AY35" s="501"/>
      <c r="AZ35" s="501"/>
      <c r="BA35" s="501"/>
      <c r="BB35" s="501"/>
      <c r="BC35" s="501"/>
      <c r="BD35" s="501"/>
      <c r="BE35" s="501"/>
      <c r="BF35" s="31"/>
    </row>
    <row r="36" spans="1:58">
      <c r="A36" s="505">
        <v>4</v>
      </c>
      <c r="B36" s="500" t="s">
        <v>178</v>
      </c>
      <c r="C36" s="500"/>
      <c r="D36" s="500"/>
      <c r="E36" s="500"/>
      <c r="F36" s="500"/>
      <c r="G36" s="500"/>
      <c r="H36" s="500"/>
      <c r="I36" s="500"/>
      <c r="J36" s="500"/>
      <c r="K36" s="49">
        <f>Y57</f>
        <v>-22</v>
      </c>
      <c r="L36" s="298" t="s">
        <v>167</v>
      </c>
      <c r="M36" s="501"/>
      <c r="N36" s="501"/>
      <c r="O36" s="501"/>
      <c r="P36" s="501"/>
      <c r="Q36" s="501"/>
      <c r="R36" s="501"/>
      <c r="S36" s="501"/>
      <c r="T36" s="501"/>
      <c r="U36" s="501"/>
      <c r="V36" s="501"/>
      <c r="W36" s="501"/>
      <c r="X36" s="501"/>
      <c r="Y36" s="501"/>
      <c r="Z36" s="501"/>
      <c r="AA36" s="501"/>
      <c r="AB36" s="501"/>
      <c r="AC36" s="501"/>
      <c r="AD36" s="501"/>
      <c r="AE36" s="501"/>
      <c r="AF36" s="501"/>
      <c r="AG36" s="501"/>
      <c r="AH36" s="501"/>
      <c r="AI36" s="501"/>
      <c r="AJ36" s="501"/>
      <c r="AK36" s="501"/>
      <c r="AL36" s="501"/>
      <c r="AM36" s="501"/>
      <c r="AN36" s="501"/>
      <c r="AO36" s="501"/>
      <c r="AP36" s="501"/>
      <c r="AQ36" s="501"/>
      <c r="AR36" s="501"/>
      <c r="AS36" s="501"/>
      <c r="AT36" s="501"/>
      <c r="AU36" s="501"/>
      <c r="AV36" s="501"/>
      <c r="AW36" s="501"/>
      <c r="AX36" s="501"/>
      <c r="AY36" s="501"/>
      <c r="AZ36" s="501"/>
      <c r="BA36" s="501"/>
      <c r="BB36" s="501"/>
      <c r="BC36" s="501"/>
      <c r="BD36" s="501"/>
      <c r="BE36" s="501"/>
      <c r="BF36" s="31"/>
    </row>
    <row r="37" spans="1:58">
      <c r="A37" s="505">
        <v>5</v>
      </c>
      <c r="B37" s="500" t="s">
        <v>267</v>
      </c>
      <c r="C37" s="500"/>
      <c r="D37" s="500"/>
      <c r="E37" s="500"/>
      <c r="F37" s="500"/>
      <c r="G37" s="500"/>
      <c r="H37" s="500"/>
      <c r="I37" s="500"/>
      <c r="J37" s="500"/>
      <c r="K37" s="500"/>
      <c r="L37" s="298"/>
      <c r="M37" s="501"/>
      <c r="N37" s="501"/>
      <c r="O37" s="501"/>
      <c r="P37" s="501"/>
      <c r="Q37" s="501" t="s">
        <v>162</v>
      </c>
      <c r="R37" s="501"/>
      <c r="S37" s="501"/>
      <c r="T37" s="501"/>
      <c r="U37" s="501"/>
      <c r="V37" s="501"/>
      <c r="W37" s="501"/>
      <c r="X37" s="501"/>
      <c r="Y37" s="501"/>
      <c r="Z37" s="501"/>
      <c r="AA37" s="501"/>
      <c r="AB37" s="501"/>
      <c r="AC37" s="501"/>
      <c r="AD37" s="501"/>
      <c r="AE37" s="501"/>
      <c r="AF37" s="501"/>
      <c r="AG37" s="501"/>
      <c r="AH37" s="501"/>
      <c r="AI37" s="501"/>
      <c r="AJ37" s="501"/>
      <c r="AK37" s="501"/>
      <c r="AL37" s="501"/>
      <c r="AM37" s="501"/>
      <c r="AN37" s="501"/>
      <c r="AO37" s="501"/>
      <c r="AP37" s="501"/>
      <c r="AQ37" s="501"/>
      <c r="AR37" s="501"/>
      <c r="AS37" s="501"/>
      <c r="AT37" s="501"/>
      <c r="AU37" s="501"/>
      <c r="AV37" s="501"/>
      <c r="AW37" s="501"/>
      <c r="AX37" s="501"/>
      <c r="AY37" s="501"/>
      <c r="AZ37" s="501"/>
      <c r="BA37" s="501"/>
      <c r="BB37" s="501"/>
      <c r="BC37" s="501"/>
      <c r="BD37" s="501"/>
      <c r="BE37" s="501"/>
      <c r="BF37" s="31"/>
    </row>
    <row r="38" spans="1:58">
      <c r="A38" s="505" t="s">
        <v>179</v>
      </c>
      <c r="B38" s="500" t="s">
        <v>180</v>
      </c>
      <c r="C38" s="500"/>
      <c r="D38" s="500"/>
      <c r="E38" s="500"/>
      <c r="F38" s="500"/>
      <c r="G38" s="500"/>
      <c r="H38" s="500"/>
      <c r="I38" s="11" t="s">
        <v>155</v>
      </c>
      <c r="J38" s="500"/>
      <c r="K38" s="506" t="b">
        <f>IF(I38="yes",0)</f>
        <v>0</v>
      </c>
      <c r="L38" s="298"/>
      <c r="M38" s="501"/>
      <c r="N38" s="501"/>
      <c r="O38" s="501"/>
      <c r="P38" s="501"/>
      <c r="Q38" s="501"/>
      <c r="R38" s="501"/>
      <c r="S38" s="501"/>
      <c r="T38" s="501"/>
      <c r="U38" s="501"/>
      <c r="V38" s="501"/>
      <c r="W38" s="501"/>
      <c r="X38" s="501"/>
      <c r="Y38" s="501"/>
      <c r="Z38" s="501"/>
      <c r="AA38" s="501"/>
      <c r="AB38" s="501"/>
      <c r="AC38" s="501"/>
      <c r="AD38" s="501"/>
      <c r="AE38" s="501"/>
      <c r="AF38" s="501"/>
      <c r="AG38" s="501"/>
      <c r="AH38" s="501"/>
      <c r="AI38" s="501"/>
      <c r="AJ38" s="501"/>
      <c r="AK38" s="501"/>
      <c r="AL38" s="501"/>
      <c r="AM38" s="501"/>
      <c r="AN38" s="501"/>
      <c r="AO38" s="501"/>
      <c r="AP38" s="501"/>
      <c r="AQ38" s="501"/>
      <c r="AR38" s="501"/>
      <c r="AS38" s="501"/>
      <c r="AT38" s="501"/>
      <c r="AU38" s="501"/>
      <c r="AV38" s="501"/>
      <c r="AW38" s="501"/>
      <c r="AX38" s="501"/>
      <c r="AY38" s="501"/>
      <c r="AZ38" s="501"/>
      <c r="BA38" s="501"/>
      <c r="BB38" s="501"/>
      <c r="BC38" s="501"/>
      <c r="BD38" s="501"/>
      <c r="BE38" s="501"/>
      <c r="BF38" s="31"/>
    </row>
    <row r="39" spans="1:58">
      <c r="A39" s="505" t="s">
        <v>181</v>
      </c>
      <c r="B39" s="500" t="s">
        <v>182</v>
      </c>
      <c r="C39" s="500"/>
      <c r="D39" s="500"/>
      <c r="E39" s="500"/>
      <c r="F39" s="500"/>
      <c r="G39" s="500"/>
      <c r="H39" s="500"/>
      <c r="I39" s="11" t="s">
        <v>155</v>
      </c>
      <c r="J39" s="500"/>
      <c r="K39" s="506" t="b">
        <f>IF(I39="yes",-5)</f>
        <v>0</v>
      </c>
      <c r="L39" s="298"/>
      <c r="M39" s="501"/>
      <c r="N39" s="507"/>
      <c r="O39" s="501"/>
      <c r="P39" s="501"/>
      <c r="Q39" s="501"/>
      <c r="R39" s="501"/>
      <c r="S39" s="501"/>
      <c r="T39" s="501"/>
      <c r="U39" s="501"/>
      <c r="V39" s="501"/>
      <c r="W39" s="501"/>
      <c r="X39" s="501"/>
      <c r="Y39" s="501"/>
      <c r="Z39" s="501"/>
      <c r="AA39" s="501"/>
      <c r="AB39" s="501"/>
      <c r="AC39" s="501"/>
      <c r="AD39" s="501"/>
      <c r="AE39" s="501"/>
      <c r="AF39" s="501"/>
      <c r="AG39" s="501"/>
      <c r="AH39" s="501"/>
      <c r="AI39" s="501"/>
      <c r="AJ39" s="501"/>
      <c r="AK39" s="501"/>
      <c r="AL39" s="501"/>
      <c r="AM39" s="501"/>
      <c r="AN39" s="501"/>
      <c r="AO39" s="501"/>
      <c r="AP39" s="501"/>
      <c r="AQ39" s="501"/>
      <c r="AR39" s="501"/>
      <c r="AS39" s="501"/>
      <c r="AT39" s="501"/>
      <c r="AU39" s="501"/>
      <c r="AV39" s="501"/>
      <c r="AW39" s="501"/>
      <c r="AX39" s="501"/>
      <c r="AY39" s="501"/>
      <c r="AZ39" s="501"/>
      <c r="BA39" s="501"/>
      <c r="BB39" s="501"/>
      <c r="BC39" s="501"/>
      <c r="BD39" s="501"/>
      <c r="BE39" s="501"/>
      <c r="BF39" s="31"/>
    </row>
    <row r="40" spans="1:58">
      <c r="A40" s="505" t="s">
        <v>183</v>
      </c>
      <c r="B40" s="500" t="s">
        <v>184</v>
      </c>
      <c r="C40" s="500"/>
      <c r="D40" s="500"/>
      <c r="E40" s="500"/>
      <c r="F40" s="500"/>
      <c r="G40" s="500"/>
      <c r="H40" s="500"/>
      <c r="I40" s="11" t="s">
        <v>185</v>
      </c>
      <c r="J40" s="500"/>
      <c r="K40" s="226">
        <f>IF(I40="yes",-10)</f>
        <v>-10</v>
      </c>
      <c r="L40" s="298"/>
      <c r="M40" s="501"/>
      <c r="N40" s="507"/>
      <c r="O40" s="501"/>
      <c r="P40" s="501"/>
      <c r="Q40" s="501"/>
      <c r="R40" s="501"/>
      <c r="S40" s="501"/>
      <c r="T40" s="501"/>
      <c r="U40" s="501"/>
      <c r="V40" s="501"/>
      <c r="W40" s="501"/>
      <c r="X40" s="501"/>
      <c r="Y40" s="501"/>
      <c r="Z40" s="501"/>
      <c r="AA40" s="501"/>
      <c r="AB40" s="501"/>
      <c r="AC40" s="501"/>
      <c r="AD40" s="501"/>
      <c r="AE40" s="501"/>
      <c r="AF40" s="501"/>
      <c r="AG40" s="501"/>
      <c r="AH40" s="501"/>
      <c r="AI40" s="501"/>
      <c r="AJ40" s="501"/>
      <c r="AK40" s="501"/>
      <c r="AL40" s="501"/>
      <c r="AM40" s="501"/>
      <c r="AN40" s="501"/>
      <c r="AO40" s="501"/>
      <c r="AP40" s="501"/>
      <c r="AQ40" s="501"/>
      <c r="AR40" s="501"/>
      <c r="AS40" s="501"/>
      <c r="AT40" s="501"/>
      <c r="AU40" s="501"/>
      <c r="AV40" s="501"/>
      <c r="AW40" s="501"/>
      <c r="AX40" s="501"/>
      <c r="AY40" s="501"/>
      <c r="AZ40" s="501"/>
      <c r="BA40" s="501"/>
      <c r="BB40" s="501"/>
      <c r="BC40" s="501"/>
      <c r="BD40" s="501"/>
      <c r="BE40" s="501"/>
      <c r="BF40" s="31"/>
    </row>
    <row r="41" spans="1:58">
      <c r="A41" s="505"/>
      <c r="B41" s="500" t="s">
        <v>178</v>
      </c>
      <c r="C41" s="500"/>
      <c r="D41" s="500"/>
      <c r="E41" s="500"/>
      <c r="F41" s="500"/>
      <c r="G41" s="500"/>
      <c r="H41" s="500"/>
      <c r="I41" s="500"/>
      <c r="J41" s="500"/>
      <c r="K41" s="226">
        <f>SUM(K38:K40)</f>
        <v>-10</v>
      </c>
      <c r="L41" s="298"/>
      <c r="M41" s="501"/>
      <c r="N41" s="507"/>
      <c r="O41" s="501"/>
      <c r="P41" s="501"/>
      <c r="Q41" s="501" t="s">
        <v>165</v>
      </c>
      <c r="R41" s="501" t="s">
        <v>166</v>
      </c>
      <c r="S41" s="501"/>
      <c r="T41" s="501"/>
      <c r="U41" s="501"/>
      <c r="V41" s="501"/>
      <c r="W41" s="501"/>
      <c r="X41" s="501"/>
      <c r="Y41" s="501"/>
      <c r="Z41" s="501"/>
      <c r="AA41" s="501"/>
      <c r="AB41" s="501"/>
      <c r="AC41" s="501"/>
      <c r="AD41" s="501"/>
      <c r="AE41" s="501"/>
      <c r="AF41" s="501"/>
      <c r="AG41" s="501"/>
      <c r="AH41" s="501"/>
      <c r="AI41" s="501"/>
      <c r="AJ41" s="501"/>
      <c r="AK41" s="501"/>
      <c r="AL41" s="501"/>
      <c r="AM41" s="501"/>
      <c r="AN41" s="501"/>
      <c r="AO41" s="501"/>
      <c r="AP41" s="501"/>
      <c r="AQ41" s="501"/>
      <c r="AR41" s="501"/>
      <c r="AS41" s="501"/>
      <c r="AT41" s="501"/>
      <c r="AU41" s="501"/>
      <c r="AV41" s="501"/>
      <c r="AW41" s="501"/>
      <c r="AX41" s="501"/>
      <c r="AY41" s="501"/>
      <c r="AZ41" s="501"/>
      <c r="BA41" s="501"/>
      <c r="BB41" s="501"/>
      <c r="BC41" s="501"/>
      <c r="BD41" s="501"/>
      <c r="BE41" s="501"/>
      <c r="BF41" s="31"/>
    </row>
    <row r="42" spans="1:58">
      <c r="A42" s="505">
        <v>6</v>
      </c>
      <c r="B42" s="500" t="s">
        <v>268</v>
      </c>
      <c r="C42" s="500"/>
      <c r="D42" s="500"/>
      <c r="E42" s="500"/>
      <c r="F42" s="500"/>
      <c r="G42" s="500"/>
      <c r="H42" s="500"/>
      <c r="I42" s="500"/>
      <c r="J42" s="500"/>
      <c r="K42" s="226">
        <f>K30+K36+K41</f>
        <v>31</v>
      </c>
      <c r="L42" s="298" t="s">
        <v>167</v>
      </c>
      <c r="M42" s="501"/>
      <c r="N42" s="507"/>
      <c r="O42" s="501"/>
      <c r="P42" s="501"/>
      <c r="Q42" s="501">
        <v>1</v>
      </c>
      <c r="R42" s="501">
        <v>2</v>
      </c>
      <c r="S42" s="501"/>
      <c r="T42" s="501"/>
      <c r="U42" s="501"/>
      <c r="V42" s="501"/>
      <c r="W42" s="501"/>
      <c r="X42" s="501"/>
      <c r="Y42" s="501"/>
      <c r="Z42" s="501"/>
      <c r="AA42" s="501"/>
      <c r="AB42" s="501"/>
      <c r="AC42" s="501"/>
      <c r="AD42" s="501"/>
      <c r="AE42" s="501"/>
      <c r="AF42" s="501"/>
      <c r="AG42" s="501"/>
      <c r="AH42" s="501"/>
      <c r="AI42" s="501"/>
      <c r="AJ42" s="501"/>
      <c r="AK42" s="501"/>
      <c r="AL42" s="501"/>
      <c r="AM42" s="501"/>
      <c r="AN42" s="501"/>
      <c r="AO42" s="501"/>
      <c r="AP42" s="501"/>
      <c r="AQ42" s="501"/>
      <c r="AR42" s="501"/>
      <c r="AS42" s="501"/>
      <c r="AT42" s="501"/>
      <c r="AU42" s="501"/>
      <c r="AV42" s="501"/>
      <c r="AW42" s="501"/>
      <c r="AX42" s="501"/>
      <c r="AY42" s="501"/>
      <c r="AZ42" s="501"/>
      <c r="BA42" s="501"/>
      <c r="BB42" s="501"/>
      <c r="BC42" s="501"/>
      <c r="BD42" s="501"/>
      <c r="BE42" s="501"/>
      <c r="BF42" s="31"/>
    </row>
    <row r="43" spans="1:58">
      <c r="A43" s="505">
        <v>7</v>
      </c>
      <c r="B43" s="500" t="s">
        <v>187</v>
      </c>
      <c r="C43" s="500"/>
      <c r="D43" s="500"/>
      <c r="E43" s="500"/>
      <c r="F43" s="500"/>
      <c r="G43" s="500"/>
      <c r="H43" s="500"/>
      <c r="I43" s="500"/>
      <c r="J43" s="500"/>
      <c r="K43" s="226">
        <v>40</v>
      </c>
      <c r="L43" s="298" t="s">
        <v>167</v>
      </c>
      <c r="M43" s="501"/>
      <c r="N43" s="507"/>
      <c r="O43" s="501"/>
      <c r="P43" s="501"/>
      <c r="Q43" s="501">
        <v>2</v>
      </c>
      <c r="R43" s="501">
        <v>4</v>
      </c>
      <c r="S43" s="501"/>
      <c r="T43" s="501"/>
      <c r="U43" s="501"/>
      <c r="V43" s="501"/>
      <c r="W43" s="501"/>
      <c r="X43" s="501"/>
      <c r="Y43" s="501"/>
      <c r="Z43" s="501"/>
      <c r="AA43" s="501"/>
      <c r="AB43" s="501"/>
      <c r="AC43" s="501"/>
      <c r="AD43" s="501"/>
      <c r="AE43" s="501"/>
      <c r="AF43" s="501"/>
      <c r="AG43" s="501"/>
      <c r="AH43" s="501"/>
      <c r="AI43" s="501"/>
      <c r="AJ43" s="501"/>
      <c r="AK43" s="501"/>
      <c r="AL43" s="501"/>
      <c r="AM43" s="501"/>
      <c r="AN43" s="501"/>
      <c r="AO43" s="501"/>
      <c r="AP43" s="501"/>
      <c r="AQ43" s="501"/>
      <c r="AR43" s="501"/>
      <c r="AS43" s="501"/>
      <c r="AT43" s="501"/>
      <c r="AU43" s="501"/>
      <c r="AV43" s="501"/>
      <c r="AW43" s="501"/>
      <c r="AX43" s="501"/>
      <c r="AY43" s="501"/>
      <c r="AZ43" s="501"/>
      <c r="BA43" s="501"/>
      <c r="BB43" s="501"/>
      <c r="BC43" s="501"/>
      <c r="BD43" s="501"/>
      <c r="BE43" s="501"/>
      <c r="BF43" s="31"/>
    </row>
    <row r="44" spans="1:58">
      <c r="A44" s="505">
        <v>8</v>
      </c>
      <c r="B44" s="500" t="s">
        <v>188</v>
      </c>
      <c r="C44" s="500"/>
      <c r="D44" s="500"/>
      <c r="E44" s="500"/>
      <c r="F44" s="500"/>
      <c r="G44" s="500"/>
      <c r="H44" s="500"/>
      <c r="I44" s="500"/>
      <c r="J44" s="500"/>
      <c r="K44" s="226">
        <f>K43-K42</f>
        <v>9</v>
      </c>
      <c r="L44" s="298" t="s">
        <v>167</v>
      </c>
      <c r="M44" s="501"/>
      <c r="N44" s="507"/>
      <c r="O44" s="501"/>
      <c r="P44" s="501"/>
      <c r="Q44" s="501">
        <v>3</v>
      </c>
      <c r="R44" s="501">
        <v>8</v>
      </c>
      <c r="S44" s="501"/>
      <c r="T44" s="501"/>
      <c r="U44" s="501"/>
      <c r="V44" s="501"/>
      <c r="W44" s="501"/>
      <c r="X44" s="501"/>
      <c r="Y44" s="501"/>
      <c r="Z44" s="501"/>
      <c r="AA44" s="501"/>
      <c r="AB44" s="501"/>
      <c r="AC44" s="501"/>
      <c r="AD44" s="501"/>
      <c r="AE44" s="501"/>
      <c r="AF44" s="501"/>
      <c r="AG44" s="501"/>
      <c r="AH44" s="501"/>
      <c r="AI44" s="501"/>
      <c r="AJ44" s="501"/>
      <c r="AK44" s="501"/>
      <c r="AL44" s="501"/>
      <c r="AM44" s="501"/>
      <c r="AN44" s="501"/>
      <c r="AO44" s="501"/>
      <c r="AP44" s="501"/>
      <c r="AQ44" s="501"/>
      <c r="AR44" s="501"/>
      <c r="AS44" s="501"/>
      <c r="AT44" s="501"/>
      <c r="AU44" s="501"/>
      <c r="AV44" s="501"/>
      <c r="AW44" s="501"/>
      <c r="AX44" s="501"/>
      <c r="AY44" s="501"/>
      <c r="AZ44" s="501"/>
      <c r="BA44" s="501"/>
      <c r="BB44" s="501"/>
      <c r="BC44" s="501"/>
      <c r="BD44" s="501"/>
      <c r="BE44" s="501"/>
      <c r="BF44" s="31"/>
    </row>
    <row r="45" spans="1:58">
      <c r="A45" s="505">
        <v>9</v>
      </c>
      <c r="B45" s="500" t="s">
        <v>189</v>
      </c>
      <c r="C45" s="500"/>
      <c r="D45" s="500"/>
      <c r="E45" s="500"/>
      <c r="F45" s="500"/>
      <c r="G45" s="500"/>
      <c r="H45" s="500"/>
      <c r="I45" s="500"/>
      <c r="J45" s="500"/>
      <c r="K45" s="226">
        <f>IF(K44&gt;15,0,VLOOKUP(K44,$Q$49:$R$79,2,FALSE))</f>
        <v>0.5</v>
      </c>
      <c r="L45" s="298" t="s">
        <v>167</v>
      </c>
      <c r="M45" s="501"/>
      <c r="N45" s="507"/>
      <c r="O45" s="501"/>
      <c r="P45" s="501"/>
      <c r="Q45" s="501">
        <v>4</v>
      </c>
      <c r="R45" s="501" t="s">
        <v>170</v>
      </c>
      <c r="S45" s="501"/>
      <c r="T45" s="501"/>
      <c r="U45" s="501"/>
      <c r="V45" s="501"/>
      <c r="W45" s="501"/>
      <c r="X45" s="501"/>
      <c r="Y45" s="501"/>
      <c r="Z45" s="501"/>
      <c r="AA45" s="501"/>
      <c r="AB45" s="501"/>
      <c r="AC45" s="501"/>
      <c r="AD45" s="501"/>
      <c r="AE45" s="501"/>
      <c r="AF45" s="501"/>
      <c r="AG45" s="501"/>
      <c r="AH45" s="501"/>
      <c r="AI45" s="501"/>
      <c r="AJ45" s="501"/>
      <c r="AK45" s="501"/>
      <c r="AL45" s="501"/>
      <c r="AM45" s="501"/>
      <c r="AN45" s="501"/>
      <c r="AO45" s="501"/>
      <c r="AP45" s="501"/>
      <c r="AQ45" s="501"/>
      <c r="AR45" s="501"/>
      <c r="AS45" s="501"/>
      <c r="AT45" s="501"/>
      <c r="AU45" s="501"/>
      <c r="AV45" s="501"/>
      <c r="AW45" s="501"/>
      <c r="AX45" s="501"/>
      <c r="AY45" s="501"/>
      <c r="AZ45" s="501"/>
      <c r="BA45" s="501"/>
      <c r="BB45" s="501"/>
      <c r="BC45" s="501"/>
      <c r="BD45" s="501"/>
      <c r="BE45" s="501"/>
      <c r="BF45" s="31"/>
    </row>
    <row r="46" spans="1:58">
      <c r="A46" s="505" t="s">
        <v>190</v>
      </c>
      <c r="B46" s="500" t="s">
        <v>191</v>
      </c>
      <c r="C46" s="500"/>
      <c r="D46" s="500"/>
      <c r="E46" s="500"/>
      <c r="F46" s="500"/>
      <c r="G46" s="500"/>
      <c r="H46" s="500"/>
      <c r="I46" s="500"/>
      <c r="J46" s="500"/>
      <c r="K46" s="226">
        <f>K45+IF(K42&lt;40,40,K42)</f>
        <v>40.5</v>
      </c>
      <c r="L46" s="298" t="s">
        <v>167</v>
      </c>
      <c r="M46" s="501"/>
      <c r="N46" s="507"/>
      <c r="O46" s="501"/>
      <c r="P46" s="501"/>
      <c r="Q46" s="501"/>
      <c r="R46" s="501"/>
      <c r="S46" s="501"/>
      <c r="T46" s="501"/>
      <c r="U46" s="501"/>
      <c r="V46" s="501"/>
      <c r="W46" s="501"/>
      <c r="X46" s="501"/>
      <c r="Y46" s="501"/>
      <c r="Z46" s="501"/>
      <c r="AA46" s="501"/>
      <c r="AB46" s="501"/>
      <c r="AC46" s="501"/>
      <c r="AD46" s="501"/>
      <c r="AE46" s="501"/>
      <c r="AF46" s="501"/>
      <c r="AG46" s="501"/>
      <c r="AH46" s="501"/>
      <c r="AI46" s="501"/>
      <c r="AJ46" s="501"/>
      <c r="AK46" s="501"/>
      <c r="AL46" s="501"/>
      <c r="AM46" s="501"/>
      <c r="AN46" s="501"/>
      <c r="AO46" s="501"/>
      <c r="AP46" s="501"/>
      <c r="AQ46" s="501"/>
      <c r="AR46" s="501"/>
      <c r="AS46" s="501"/>
      <c r="AT46" s="501"/>
      <c r="AU46" s="501"/>
      <c r="AV46" s="501"/>
      <c r="AW46" s="501"/>
      <c r="AX46" s="501"/>
      <c r="AY46" s="501"/>
      <c r="AZ46" s="501"/>
      <c r="BA46" s="501"/>
      <c r="BB46" s="501"/>
      <c r="BC46" s="501"/>
      <c r="BD46" s="501"/>
      <c r="BE46" s="501"/>
      <c r="BF46" s="31"/>
    </row>
    <row r="47" spans="1:58" ht="23.25">
      <c r="A47" s="505">
        <v>10</v>
      </c>
      <c r="B47" s="500" t="s">
        <v>192</v>
      </c>
      <c r="C47" s="500"/>
      <c r="D47" s="500"/>
      <c r="E47" s="500"/>
      <c r="F47" s="500"/>
      <c r="G47" s="500"/>
      <c r="H47" s="500"/>
      <c r="I47" s="500"/>
      <c r="J47" s="500"/>
      <c r="K47" s="62" t="str">
        <f>IF(Q31="Ground","PASS", IF(I29=B21,"PASS",IF(K46&lt;42,"PASS","FAIL!")))</f>
        <v>PASS</v>
      </c>
      <c r="L47" s="298"/>
      <c r="M47" s="501"/>
      <c r="N47" s="507"/>
      <c r="O47" s="501"/>
      <c r="P47" s="501"/>
      <c r="Q47" s="501" t="s">
        <v>173</v>
      </c>
      <c r="R47" s="501"/>
      <c r="S47" s="501"/>
      <c r="T47" s="501"/>
      <c r="U47" s="501"/>
      <c r="V47" s="501"/>
      <c r="W47" s="501"/>
      <c r="X47" s="501"/>
      <c r="Y47" s="501"/>
      <c r="Z47" s="501"/>
      <c r="AA47" s="501"/>
      <c r="AB47" s="501"/>
      <c r="AC47" s="501"/>
      <c r="AD47" s="501"/>
      <c r="AE47" s="501"/>
      <c r="AF47" s="501"/>
      <c r="AG47" s="501"/>
      <c r="AH47" s="501"/>
      <c r="AI47" s="501"/>
      <c r="AJ47" s="501"/>
      <c r="AK47" s="501"/>
      <c r="AL47" s="501"/>
      <c r="AM47" s="501"/>
      <c r="AN47" s="501"/>
      <c r="AO47" s="501"/>
      <c r="AP47" s="501"/>
      <c r="AQ47" s="501"/>
      <c r="AR47" s="501"/>
      <c r="AS47" s="501"/>
      <c r="AT47" s="501"/>
      <c r="AU47" s="501"/>
      <c r="AV47" s="501"/>
      <c r="AW47" s="501"/>
      <c r="AX47" s="501"/>
      <c r="AY47" s="501"/>
      <c r="AZ47" s="501"/>
      <c r="BA47" s="501"/>
      <c r="BB47" s="501"/>
      <c r="BC47" s="501"/>
      <c r="BD47" s="501"/>
      <c r="BE47" s="501"/>
      <c r="BF47" s="31"/>
    </row>
    <row r="48" spans="1:58">
      <c r="A48" s="500"/>
      <c r="B48" s="500"/>
      <c r="C48" s="500"/>
      <c r="D48" s="500"/>
      <c r="E48" s="500"/>
      <c r="F48" s="500"/>
      <c r="G48" s="500"/>
      <c r="H48" s="500"/>
      <c r="I48" s="500"/>
      <c r="J48" s="500"/>
      <c r="K48" s="500"/>
      <c r="L48" s="298"/>
      <c r="M48" s="501"/>
      <c r="N48" s="507"/>
      <c r="O48" s="501"/>
      <c r="P48" s="501"/>
      <c r="Q48" s="501" t="s">
        <v>176</v>
      </c>
      <c r="R48" s="501" t="s">
        <v>177</v>
      </c>
      <c r="S48" s="501"/>
      <c r="T48" s="501"/>
      <c r="U48" s="501"/>
      <c r="V48" s="501"/>
      <c r="W48" s="501"/>
      <c r="X48" s="501"/>
      <c r="Y48" s="501"/>
      <c r="Z48" s="501"/>
      <c r="AA48" s="501"/>
      <c r="AB48" s="501"/>
      <c r="AC48" s="501"/>
      <c r="AD48" s="501"/>
      <c r="AE48" s="501"/>
      <c r="AF48" s="501"/>
      <c r="AG48" s="501"/>
      <c r="AH48" s="501"/>
      <c r="AI48" s="501"/>
      <c r="AJ48" s="501"/>
      <c r="AK48" s="501"/>
      <c r="AL48" s="501"/>
      <c r="AM48" s="501"/>
      <c r="AN48" s="501"/>
      <c r="AO48" s="501"/>
      <c r="AP48" s="501"/>
      <c r="AQ48" s="501"/>
      <c r="AR48" s="501"/>
      <c r="AS48" s="501"/>
      <c r="AT48" s="501"/>
      <c r="AU48" s="501"/>
      <c r="AV48" s="501"/>
      <c r="AW48" s="501"/>
      <c r="AX48" s="501"/>
      <c r="AY48" s="501"/>
      <c r="AZ48" s="501"/>
      <c r="BA48" s="501"/>
      <c r="BB48" s="501"/>
      <c r="BC48" s="501"/>
      <c r="BD48" s="501"/>
      <c r="BE48" s="501"/>
      <c r="BF48" s="31"/>
    </row>
    <row r="49" spans="1:58">
      <c r="A49" s="508"/>
      <c r="B49" s="508"/>
      <c r="C49" s="508"/>
      <c r="D49" s="508"/>
      <c r="E49" s="508"/>
      <c r="F49" s="508"/>
      <c r="G49" s="508"/>
      <c r="H49" s="508"/>
      <c r="I49" s="508"/>
      <c r="J49" s="508"/>
      <c r="K49" s="508"/>
      <c r="L49" s="563"/>
      <c r="M49" s="507"/>
      <c r="N49" s="31"/>
      <c r="O49" s="501"/>
      <c r="P49" s="501"/>
      <c r="Q49" s="501">
        <v>-15</v>
      </c>
      <c r="R49" s="501">
        <v>0.1</v>
      </c>
      <c r="S49" s="501"/>
      <c r="T49" s="501"/>
      <c r="U49" s="501"/>
      <c r="V49" s="501"/>
      <c r="W49" s="501"/>
      <c r="X49" s="501"/>
      <c r="Y49" s="501"/>
      <c r="Z49" s="501"/>
      <c r="AA49" s="501"/>
      <c r="AB49" s="501"/>
      <c r="AC49" s="501"/>
      <c r="AD49" s="501"/>
      <c r="AE49" s="501"/>
      <c r="AF49" s="501"/>
      <c r="AG49" s="501"/>
      <c r="AH49" s="501"/>
      <c r="AI49" s="501"/>
      <c r="AJ49" s="501"/>
      <c r="AK49" s="501"/>
      <c r="AL49" s="501"/>
      <c r="AM49" s="501"/>
      <c r="AN49" s="501"/>
      <c r="AO49" s="501"/>
      <c r="AP49" s="501"/>
      <c r="AQ49" s="501"/>
      <c r="AR49" s="501"/>
      <c r="AS49" s="501"/>
      <c r="AT49" s="501"/>
      <c r="AU49" s="501"/>
      <c r="AV49" s="501"/>
      <c r="AW49" s="501"/>
      <c r="AX49" s="501"/>
      <c r="AY49" s="501"/>
      <c r="AZ49" s="501"/>
      <c r="BA49" s="501"/>
      <c r="BB49" s="501"/>
      <c r="BC49" s="501"/>
      <c r="BD49" s="501"/>
      <c r="BE49" s="501"/>
      <c r="BF49" s="31"/>
    </row>
    <row r="50" spans="1:58">
      <c r="A50" s="508"/>
      <c r="B50" s="508"/>
      <c r="C50" s="508"/>
      <c r="D50" s="508"/>
      <c r="E50" s="508"/>
      <c r="F50" s="508"/>
      <c r="G50" s="508"/>
      <c r="H50" s="508"/>
      <c r="I50" s="508"/>
      <c r="J50" s="508"/>
      <c r="K50" s="508"/>
      <c r="L50" s="563"/>
      <c r="M50" s="507"/>
      <c r="N50" s="31"/>
      <c r="O50" s="501"/>
      <c r="P50" s="501"/>
      <c r="Q50" s="501">
        <v>-14</v>
      </c>
      <c r="R50" s="501">
        <v>0.2</v>
      </c>
      <c r="S50" s="501"/>
      <c r="T50" s="501"/>
      <c r="U50" s="501"/>
      <c r="V50" s="501"/>
      <c r="W50" s="501"/>
      <c r="X50" s="501"/>
      <c r="Y50" s="501"/>
      <c r="Z50" s="501"/>
      <c r="AA50" s="501"/>
      <c r="AB50" s="501"/>
      <c r="AC50" s="501"/>
      <c r="AD50" s="501"/>
      <c r="AE50" s="501"/>
      <c r="AF50" s="501"/>
      <c r="AG50" s="501"/>
      <c r="AH50" s="501"/>
      <c r="AI50" s="501"/>
      <c r="AJ50" s="501"/>
      <c r="AK50" s="501"/>
      <c r="AL50" s="501"/>
      <c r="AM50" s="501"/>
      <c r="AN50" s="501"/>
      <c r="AO50" s="501"/>
      <c r="AP50" s="501"/>
      <c r="AQ50" s="501"/>
      <c r="AR50" s="501"/>
      <c r="AS50" s="501"/>
      <c r="AT50" s="501"/>
      <c r="AU50" s="501"/>
      <c r="AV50" s="501"/>
      <c r="AW50" s="501"/>
      <c r="AX50" s="501"/>
      <c r="AY50" s="501"/>
      <c r="AZ50" s="501"/>
      <c r="BA50" s="501"/>
      <c r="BB50" s="501"/>
      <c r="BC50" s="501"/>
      <c r="BD50" s="501"/>
      <c r="BE50" s="501"/>
      <c r="BF50" s="31"/>
    </row>
    <row r="51" spans="1:58">
      <c r="A51" s="508"/>
      <c r="B51" s="508"/>
      <c r="C51" s="508"/>
      <c r="D51" s="508"/>
      <c r="E51" s="508"/>
      <c r="F51" s="508"/>
      <c r="G51" s="508"/>
      <c r="H51" s="508"/>
      <c r="I51" s="508"/>
      <c r="J51" s="508"/>
      <c r="K51" s="508"/>
      <c r="L51" s="563"/>
      <c r="M51" s="507"/>
      <c r="N51" s="31"/>
      <c r="O51" s="501"/>
      <c r="P51" s="501"/>
      <c r="Q51" s="501">
        <v>-13</v>
      </c>
      <c r="R51" s="501">
        <v>0.2</v>
      </c>
      <c r="S51" s="501"/>
      <c r="T51" s="501"/>
      <c r="U51" s="501"/>
      <c r="V51" s="501"/>
      <c r="W51" s="501"/>
      <c r="X51" s="501"/>
      <c r="Y51" s="501"/>
      <c r="Z51" s="501"/>
      <c r="AA51" s="501"/>
      <c r="AB51" s="501"/>
      <c r="AC51" s="501"/>
      <c r="AD51" s="501"/>
      <c r="AE51" s="501"/>
      <c r="AF51" s="501"/>
      <c r="AG51" s="501"/>
      <c r="AH51" s="501"/>
      <c r="AI51" s="501"/>
      <c r="AJ51" s="501"/>
      <c r="AK51" s="501"/>
      <c r="AL51" s="501"/>
      <c r="AM51" s="501"/>
      <c r="AN51" s="501"/>
      <c r="AO51" s="501"/>
      <c r="AP51" s="501"/>
      <c r="AQ51" s="501"/>
      <c r="AR51" s="501"/>
      <c r="AS51" s="501"/>
      <c r="AT51" s="501"/>
      <c r="AU51" s="501"/>
      <c r="AV51" s="501"/>
      <c r="AW51" s="501"/>
      <c r="AX51" s="501"/>
      <c r="AY51" s="501"/>
      <c r="AZ51" s="501"/>
      <c r="BA51" s="501"/>
      <c r="BB51" s="501"/>
      <c r="BC51" s="501"/>
      <c r="BD51" s="501"/>
      <c r="BE51" s="501"/>
      <c r="BF51" s="31"/>
    </row>
    <row r="52" spans="1:58">
      <c r="A52" s="508"/>
      <c r="B52" s="508"/>
      <c r="C52" s="508"/>
      <c r="D52" s="508"/>
      <c r="E52" s="508"/>
      <c r="F52" s="508"/>
      <c r="G52" s="508"/>
      <c r="H52" s="508"/>
      <c r="I52" s="508"/>
      <c r="J52" s="508"/>
      <c r="K52" s="508"/>
      <c r="L52" s="563"/>
      <c r="M52" s="507"/>
      <c r="N52" s="31"/>
      <c r="O52" s="501"/>
      <c r="P52" s="501"/>
      <c r="Q52" s="501">
        <v>-12</v>
      </c>
      <c r="R52" s="501">
        <v>0.3</v>
      </c>
      <c r="S52" s="501"/>
      <c r="T52" s="501"/>
      <c r="U52" s="501"/>
      <c r="V52" s="501"/>
      <c r="W52" s="501"/>
      <c r="X52" s="501"/>
      <c r="Y52" s="501"/>
      <c r="Z52" s="501"/>
      <c r="AA52" s="501"/>
      <c r="AB52" s="501"/>
      <c r="AC52" s="501"/>
      <c r="AD52" s="501"/>
      <c r="AE52" s="501"/>
      <c r="AF52" s="501"/>
      <c r="AG52" s="501"/>
      <c r="AH52" s="501"/>
      <c r="AI52" s="501"/>
      <c r="AJ52" s="501"/>
      <c r="AK52" s="501"/>
      <c r="AL52" s="501"/>
      <c r="AM52" s="501"/>
      <c r="AN52" s="501"/>
      <c r="AO52" s="501"/>
      <c r="AP52" s="501"/>
      <c r="AQ52" s="501"/>
      <c r="AR52" s="501"/>
      <c r="AS52" s="501"/>
      <c r="AT52" s="501"/>
      <c r="AU52" s="501"/>
      <c r="AV52" s="501"/>
      <c r="AW52" s="501"/>
      <c r="AX52" s="501"/>
      <c r="AY52" s="501"/>
      <c r="AZ52" s="501"/>
      <c r="BA52" s="501"/>
      <c r="BB52" s="501"/>
      <c r="BC52" s="501"/>
      <c r="BD52" s="501"/>
      <c r="BE52" s="501"/>
      <c r="BF52" s="31"/>
    </row>
    <row r="53" spans="1:58">
      <c r="A53" s="508"/>
      <c r="B53" s="508"/>
      <c r="C53" s="508"/>
      <c r="D53" s="508"/>
      <c r="E53" s="508"/>
      <c r="F53" s="508"/>
      <c r="G53" s="508"/>
      <c r="H53" s="508"/>
      <c r="I53" s="508"/>
      <c r="J53" s="508"/>
      <c r="K53" s="508"/>
      <c r="L53" s="563"/>
      <c r="M53" s="507"/>
      <c r="N53" s="31"/>
      <c r="O53" s="501"/>
      <c r="P53" s="501"/>
      <c r="Q53" s="501">
        <v>-11</v>
      </c>
      <c r="R53" s="501">
        <v>0.3</v>
      </c>
      <c r="S53" s="501"/>
      <c r="T53" s="501"/>
      <c r="U53" s="501"/>
      <c r="V53" s="501"/>
      <c r="W53" s="501"/>
      <c r="X53" s="501"/>
      <c r="Y53" s="501" t="s">
        <v>186</v>
      </c>
      <c r="Z53" s="501"/>
      <c r="AA53" s="501"/>
      <c r="AB53" s="501"/>
      <c r="AC53" s="501"/>
      <c r="AD53" s="501"/>
      <c r="AE53" s="501"/>
      <c r="AF53" s="501"/>
      <c r="AG53" s="501"/>
      <c r="AH53" s="501"/>
      <c r="AI53" s="501"/>
      <c r="AJ53" s="501"/>
      <c r="AK53" s="501"/>
      <c r="AL53" s="501"/>
      <c r="AM53" s="501"/>
      <c r="AN53" s="501"/>
      <c r="AO53" s="501"/>
      <c r="AP53" s="501"/>
      <c r="AQ53" s="501"/>
      <c r="AR53" s="501"/>
      <c r="AS53" s="501"/>
      <c r="AT53" s="501"/>
      <c r="AU53" s="501"/>
      <c r="AV53" s="501"/>
      <c r="AW53" s="501"/>
      <c r="AX53" s="501"/>
      <c r="AY53" s="501"/>
      <c r="AZ53" s="501"/>
      <c r="BA53" s="501"/>
      <c r="BB53" s="501"/>
      <c r="BC53" s="501"/>
      <c r="BD53" s="501"/>
      <c r="BE53" s="501"/>
      <c r="BF53" s="31"/>
    </row>
    <row r="54" spans="1:58" ht="15" thickBot="1">
      <c r="A54" s="593"/>
      <c r="B54" s="593"/>
      <c r="C54" s="593"/>
      <c r="D54" s="593"/>
      <c r="E54" s="593"/>
      <c r="F54" s="593"/>
      <c r="G54" s="593"/>
      <c r="H54" s="593"/>
      <c r="I54" s="564"/>
      <c r="J54" s="564"/>
      <c r="K54" s="564"/>
      <c r="L54" s="565"/>
      <c r="M54" s="507"/>
      <c r="N54" s="31"/>
      <c r="O54" s="501"/>
      <c r="P54" s="501"/>
      <c r="Q54" s="501">
        <v>-10</v>
      </c>
      <c r="R54" s="501">
        <v>0.4</v>
      </c>
      <c r="S54" s="501"/>
      <c r="T54" s="501"/>
      <c r="U54" s="501"/>
      <c r="V54" s="501"/>
      <c r="W54" s="501"/>
      <c r="X54" s="501"/>
      <c r="Y54" s="501" t="b">
        <f>IF(K32=2,HLOOKUP((K35),$V$10:$BE$13,2,FALSE))</f>
        <v>0</v>
      </c>
      <c r="Z54" s="501"/>
      <c r="AA54" s="501"/>
      <c r="AB54" s="501"/>
      <c r="AC54" s="501"/>
      <c r="AD54" s="501"/>
      <c r="AE54" s="501"/>
      <c r="AF54" s="501"/>
      <c r="AG54" s="501"/>
      <c r="AH54" s="501"/>
      <c r="AI54" s="501"/>
      <c r="AJ54" s="501"/>
      <c r="AK54" s="501"/>
      <c r="AL54" s="501"/>
      <c r="AM54" s="501"/>
      <c r="AN54" s="501"/>
      <c r="AO54" s="501"/>
      <c r="AP54" s="501"/>
      <c r="AQ54" s="501"/>
      <c r="AR54" s="501"/>
      <c r="AS54" s="501"/>
      <c r="AT54" s="501"/>
      <c r="AU54" s="501"/>
      <c r="AV54" s="501"/>
      <c r="AW54" s="501"/>
      <c r="AX54" s="501"/>
      <c r="AY54" s="501"/>
      <c r="AZ54" s="501"/>
      <c r="BA54" s="501"/>
      <c r="BB54" s="501"/>
      <c r="BC54" s="501"/>
      <c r="BD54" s="501"/>
      <c r="BE54" s="501"/>
      <c r="BF54" s="31"/>
    </row>
    <row r="55" spans="1:58" hidden="1">
      <c r="A55" s="507"/>
      <c r="B55" s="507"/>
      <c r="C55" s="507"/>
      <c r="D55" s="507"/>
      <c r="E55" s="507"/>
      <c r="F55" s="507"/>
      <c r="G55" s="507"/>
      <c r="H55" s="507"/>
      <c r="I55" s="508"/>
      <c r="J55" s="508"/>
      <c r="K55" s="508"/>
      <c r="L55" s="507"/>
      <c r="M55" s="507"/>
      <c r="N55" s="31"/>
      <c r="O55" s="501"/>
      <c r="P55" s="501"/>
      <c r="Q55" s="501">
        <v>-9</v>
      </c>
      <c r="R55" s="501">
        <v>0.5</v>
      </c>
      <c r="S55" s="501"/>
      <c r="T55" s="501"/>
      <c r="U55" s="501"/>
      <c r="V55" s="501"/>
      <c r="W55" s="501"/>
      <c r="X55" s="501"/>
      <c r="Y55" s="501" t="b">
        <f>IF(K32=4,HLOOKUP((K35),$V$10:$BE$13,3,FALSE))</f>
        <v>0</v>
      </c>
      <c r="Z55" s="501"/>
      <c r="AA55" s="501"/>
      <c r="AB55" s="501"/>
      <c r="AC55" s="501"/>
      <c r="AD55" s="501"/>
      <c r="AE55" s="501"/>
      <c r="AF55" s="501"/>
      <c r="AG55" s="501"/>
      <c r="AH55" s="501"/>
      <c r="AI55" s="501"/>
      <c r="AJ55" s="501"/>
      <c r="AK55" s="501"/>
      <c r="AL55" s="501"/>
      <c r="AM55" s="501"/>
      <c r="AN55" s="501"/>
      <c r="AO55" s="501"/>
      <c r="AP55" s="501"/>
      <c r="AQ55" s="501"/>
      <c r="AR55" s="501"/>
      <c r="AS55" s="501"/>
      <c r="AT55" s="501"/>
      <c r="AU55" s="501"/>
      <c r="AV55" s="501"/>
      <c r="AW55" s="501"/>
      <c r="AX55" s="501"/>
      <c r="AY55" s="501"/>
      <c r="AZ55" s="501"/>
      <c r="BA55" s="501"/>
      <c r="BB55" s="501"/>
      <c r="BC55" s="501"/>
      <c r="BD55" s="501"/>
      <c r="BE55" s="501"/>
      <c r="BF55" s="31"/>
    </row>
    <row r="56" spans="1:58" hidden="1">
      <c r="A56" s="507"/>
      <c r="B56" s="507"/>
      <c r="C56" s="507"/>
      <c r="D56" s="507"/>
      <c r="E56" s="507"/>
      <c r="F56" s="507"/>
      <c r="G56" s="507"/>
      <c r="H56" s="507"/>
      <c r="I56" s="508"/>
      <c r="J56" s="508"/>
      <c r="K56" s="508"/>
      <c r="L56" s="507"/>
      <c r="M56" s="507"/>
      <c r="N56" s="31"/>
      <c r="O56" s="501"/>
      <c r="P56" s="501"/>
      <c r="Q56" s="501">
        <v>-8</v>
      </c>
      <c r="R56" s="501">
        <v>0.6</v>
      </c>
      <c r="S56" s="501"/>
      <c r="T56" s="501"/>
      <c r="U56" s="501"/>
      <c r="V56" s="501"/>
      <c r="W56" s="501"/>
      <c r="X56" s="501"/>
      <c r="Y56" s="501">
        <f>IF(K32=8,HLOOKUP((K35),$V$10:$AZ$13,4,FALSE))</f>
        <v>-22</v>
      </c>
      <c r="Z56" s="501"/>
      <c r="AA56" s="501"/>
      <c r="AB56" s="501"/>
      <c r="AC56" s="501"/>
      <c r="AD56" s="501"/>
      <c r="AE56" s="501"/>
      <c r="AF56" s="501"/>
      <c r="AG56" s="501"/>
      <c r="AH56" s="501"/>
      <c r="AI56" s="501"/>
      <c r="AJ56" s="501"/>
      <c r="AK56" s="501"/>
      <c r="AL56" s="501"/>
      <c r="AM56" s="501"/>
      <c r="AN56" s="501"/>
      <c r="AO56" s="501"/>
      <c r="AP56" s="501"/>
      <c r="AQ56" s="501"/>
      <c r="AR56" s="501"/>
      <c r="AS56" s="501"/>
      <c r="AT56" s="501"/>
      <c r="AU56" s="501"/>
      <c r="AV56" s="501"/>
      <c r="AW56" s="501"/>
      <c r="AX56" s="501"/>
      <c r="AY56" s="501"/>
      <c r="AZ56" s="501"/>
      <c r="BA56" s="501"/>
      <c r="BB56" s="501"/>
      <c r="BC56" s="501"/>
      <c r="BD56" s="501"/>
      <c r="BE56" s="501"/>
      <c r="BF56" s="31"/>
    </row>
    <row r="57" spans="1:58" hidden="1">
      <c r="A57" s="507"/>
      <c r="B57" s="507"/>
      <c r="C57" s="507"/>
      <c r="D57" s="507"/>
      <c r="E57" s="507"/>
      <c r="F57" s="507"/>
      <c r="G57" s="507"/>
      <c r="H57" s="507"/>
      <c r="I57" s="508"/>
      <c r="J57" s="508"/>
      <c r="K57" s="508"/>
      <c r="L57" s="507"/>
      <c r="M57" s="507"/>
      <c r="N57" s="31"/>
      <c r="O57" s="501"/>
      <c r="P57" s="501"/>
      <c r="Q57" s="501">
        <v>-7</v>
      </c>
      <c r="R57" s="501">
        <v>0.8</v>
      </c>
      <c r="S57" s="501"/>
      <c r="T57" s="501"/>
      <c r="U57" s="501"/>
      <c r="V57" s="501"/>
      <c r="W57" s="501"/>
      <c r="X57" s="501"/>
      <c r="Y57" s="501">
        <f>SUM(Y54:Y56)</f>
        <v>-22</v>
      </c>
      <c r="Z57" s="501"/>
      <c r="AA57" s="501"/>
      <c r="AB57" s="501"/>
      <c r="AC57" s="501"/>
      <c r="AD57" s="501"/>
      <c r="AE57" s="501"/>
      <c r="AF57" s="501"/>
      <c r="AG57" s="501"/>
      <c r="AH57" s="501"/>
      <c r="AI57" s="501"/>
      <c r="AJ57" s="501"/>
      <c r="AK57" s="501"/>
      <c r="AL57" s="501"/>
      <c r="AM57" s="501"/>
      <c r="AN57" s="501"/>
      <c r="AO57" s="501"/>
      <c r="AP57" s="501"/>
      <c r="AQ57" s="501"/>
      <c r="AR57" s="501"/>
      <c r="AS57" s="501"/>
      <c r="AT57" s="501"/>
      <c r="AU57" s="501"/>
      <c r="AV57" s="501"/>
      <c r="AW57" s="501"/>
      <c r="AX57" s="501"/>
      <c r="AY57" s="501"/>
      <c r="AZ57" s="501"/>
      <c r="BA57" s="501"/>
      <c r="BB57" s="501"/>
      <c r="BC57" s="501"/>
      <c r="BD57" s="501"/>
      <c r="BE57" s="501"/>
      <c r="BF57" s="31"/>
    </row>
    <row r="58" spans="1:58" hidden="1">
      <c r="A58" s="507"/>
      <c r="B58" s="507"/>
      <c r="C58" s="507"/>
      <c r="D58" s="507"/>
      <c r="E58" s="507"/>
      <c r="F58" s="507"/>
      <c r="G58" s="507"/>
      <c r="H58" s="507"/>
      <c r="I58" s="508"/>
      <c r="J58" s="508"/>
      <c r="K58" s="508"/>
      <c r="L58" s="507"/>
      <c r="M58" s="507"/>
      <c r="N58" s="31"/>
      <c r="O58" s="501"/>
      <c r="P58" s="501"/>
      <c r="Q58" s="501">
        <v>-6</v>
      </c>
      <c r="R58" s="501">
        <v>1</v>
      </c>
      <c r="S58" s="501"/>
      <c r="T58" s="501"/>
      <c r="U58" s="501"/>
      <c r="V58" s="501"/>
      <c r="W58" s="501"/>
      <c r="X58" s="501"/>
      <c r="Y58" s="501"/>
      <c r="Z58" s="501"/>
      <c r="AA58" s="501"/>
      <c r="AB58" s="501"/>
      <c r="AC58" s="501"/>
      <c r="AD58" s="501"/>
      <c r="AE58" s="501"/>
      <c r="AF58" s="501"/>
      <c r="AG58" s="501"/>
      <c r="AH58" s="501"/>
      <c r="AI58" s="501"/>
      <c r="AJ58" s="501"/>
      <c r="AK58" s="501"/>
      <c r="AL58" s="501"/>
      <c r="AM58" s="501"/>
      <c r="AN58" s="501"/>
      <c r="AO58" s="501"/>
      <c r="AP58" s="501"/>
      <c r="AQ58" s="501"/>
      <c r="AR58" s="501"/>
      <c r="AS58" s="501"/>
      <c r="AT58" s="501"/>
      <c r="AU58" s="501"/>
      <c r="AV58" s="501"/>
      <c r="AW58" s="501"/>
      <c r="AX58" s="501"/>
      <c r="AY58" s="501"/>
      <c r="AZ58" s="501"/>
      <c r="BA58" s="501"/>
      <c r="BB58" s="501"/>
      <c r="BC58" s="501"/>
      <c r="BD58" s="501"/>
      <c r="BE58" s="501"/>
      <c r="BF58" s="31"/>
    </row>
    <row r="59" spans="1:58" hidden="1">
      <c r="A59" s="31"/>
      <c r="B59" s="31"/>
      <c r="C59" s="31"/>
      <c r="D59" s="31"/>
      <c r="E59" s="31"/>
      <c r="F59" s="31"/>
      <c r="G59" s="31"/>
      <c r="H59" s="31"/>
      <c r="I59" s="508"/>
      <c r="J59" s="508"/>
      <c r="K59" s="508"/>
      <c r="L59" s="31"/>
      <c r="M59" s="31"/>
      <c r="N59" s="31"/>
      <c r="O59" s="501"/>
      <c r="P59" s="501"/>
      <c r="Q59" s="501">
        <v>-5</v>
      </c>
      <c r="R59" s="501">
        <v>1.2</v>
      </c>
      <c r="S59" s="501"/>
      <c r="T59" s="501"/>
      <c r="U59" s="501"/>
      <c r="V59" s="501"/>
      <c r="W59" s="501"/>
      <c r="X59" s="501"/>
      <c r="Y59" s="501"/>
      <c r="Z59" s="501"/>
      <c r="AA59" s="501"/>
      <c r="AB59" s="501"/>
      <c r="AC59" s="501"/>
      <c r="AD59" s="501"/>
      <c r="AE59" s="501"/>
      <c r="AF59" s="501"/>
      <c r="AG59" s="501"/>
      <c r="AH59" s="501"/>
      <c r="AI59" s="501"/>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31"/>
    </row>
    <row r="60" spans="1:58" ht="15">
      <c r="A60" s="509"/>
      <c r="B60" s="31"/>
      <c r="C60" s="31"/>
      <c r="D60" s="31"/>
      <c r="E60" s="31"/>
      <c r="F60" s="31"/>
      <c r="G60" s="31"/>
      <c r="H60" s="31"/>
      <c r="I60" s="508"/>
      <c r="J60" s="508"/>
      <c r="K60" s="508"/>
      <c r="L60" s="31"/>
      <c r="M60" s="31"/>
      <c r="N60" s="31"/>
      <c r="O60" s="501"/>
      <c r="P60" s="501"/>
      <c r="Q60" s="501">
        <v>-4</v>
      </c>
      <c r="R60" s="501">
        <v>1.5</v>
      </c>
      <c r="S60" s="501"/>
      <c r="T60" s="501"/>
      <c r="U60" s="501"/>
      <c r="V60" s="501"/>
      <c r="W60" s="501"/>
      <c r="X60" s="501"/>
      <c r="Y60" s="501"/>
      <c r="Z60" s="501"/>
      <c r="AA60" s="501"/>
      <c r="AB60" s="501"/>
      <c r="AC60" s="501"/>
      <c r="AD60" s="501"/>
      <c r="AE60" s="501"/>
      <c r="AF60" s="501"/>
      <c r="AG60" s="501"/>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31"/>
    </row>
    <row r="61" spans="1:58" ht="15">
      <c r="A61" s="509"/>
      <c r="B61" s="31"/>
      <c r="C61" s="31"/>
      <c r="D61" s="31"/>
      <c r="E61" s="31"/>
      <c r="F61" s="31"/>
      <c r="G61" s="31"/>
      <c r="H61" s="31"/>
      <c r="I61" s="31"/>
      <c r="J61" s="31"/>
      <c r="K61" s="31"/>
      <c r="L61" s="31"/>
      <c r="M61" s="31"/>
      <c r="N61" s="31"/>
      <c r="O61" s="501"/>
      <c r="P61" s="501"/>
      <c r="Q61" s="501">
        <v>-3</v>
      </c>
      <c r="R61" s="501">
        <v>1.8</v>
      </c>
      <c r="S61" s="501"/>
      <c r="T61" s="501"/>
      <c r="U61" s="501"/>
      <c r="V61" s="501"/>
      <c r="W61" s="501"/>
      <c r="X61" s="501"/>
      <c r="Y61" s="501"/>
      <c r="Z61" s="501"/>
      <c r="AA61" s="501"/>
      <c r="AB61" s="501"/>
      <c r="AC61" s="501"/>
      <c r="AD61" s="501"/>
      <c r="AE61" s="501"/>
      <c r="AF61" s="501"/>
      <c r="AG61" s="501"/>
      <c r="AH61" s="501"/>
      <c r="AI61" s="501"/>
      <c r="AJ61" s="501"/>
      <c r="AK61" s="501"/>
      <c r="AL61" s="501"/>
      <c r="AM61" s="501"/>
      <c r="AN61" s="501"/>
      <c r="AO61" s="501"/>
      <c r="AP61" s="501"/>
      <c r="AQ61" s="501"/>
      <c r="AR61" s="501"/>
      <c r="AS61" s="501"/>
      <c r="AT61" s="501"/>
      <c r="AU61" s="501"/>
      <c r="AV61" s="501"/>
      <c r="AW61" s="501"/>
      <c r="AX61" s="501"/>
      <c r="AY61" s="501"/>
      <c r="AZ61" s="501"/>
      <c r="BA61" s="501"/>
      <c r="BB61" s="501"/>
      <c r="BC61" s="501"/>
      <c r="BD61" s="501"/>
      <c r="BE61" s="501"/>
      <c r="BF61" s="31"/>
    </row>
    <row r="62" spans="1:58">
      <c r="A62" s="31"/>
      <c r="B62" s="31"/>
      <c r="C62" s="31"/>
      <c r="D62" s="31"/>
      <c r="E62" s="31"/>
      <c r="F62" s="31"/>
      <c r="G62" s="31"/>
      <c r="H62" s="31"/>
      <c r="I62" s="31"/>
      <c r="J62" s="31"/>
      <c r="K62" s="31"/>
      <c r="L62" s="31"/>
      <c r="M62" s="31"/>
      <c r="N62" s="31"/>
      <c r="O62" s="507"/>
      <c r="P62" s="507"/>
      <c r="Q62" s="507">
        <v>-2</v>
      </c>
      <c r="R62" s="507">
        <v>2.1</v>
      </c>
      <c r="S62" s="507"/>
      <c r="T62" s="507"/>
      <c r="U62" s="507"/>
      <c r="V62" s="507"/>
      <c r="W62" s="507"/>
      <c r="X62" s="507"/>
      <c r="Y62" s="507"/>
      <c r="Z62" s="507"/>
      <c r="AA62" s="507"/>
      <c r="AB62" s="507"/>
      <c r="AC62" s="507"/>
      <c r="AD62" s="507"/>
      <c r="AE62" s="507"/>
      <c r="AF62" s="507"/>
      <c r="AG62" s="507"/>
      <c r="AH62" s="507"/>
      <c r="AI62" s="507"/>
      <c r="AJ62" s="507"/>
      <c r="AK62" s="507"/>
      <c r="AL62" s="507"/>
      <c r="AM62" s="507"/>
      <c r="AN62" s="507"/>
      <c r="AO62" s="507"/>
      <c r="AP62" s="507"/>
      <c r="AQ62" s="507"/>
      <c r="AR62" s="507"/>
      <c r="AS62" s="507"/>
      <c r="AT62" s="507"/>
      <c r="AU62" s="507"/>
      <c r="AV62" s="507"/>
      <c r="AW62" s="507"/>
      <c r="AX62" s="507"/>
      <c r="AY62" s="507"/>
      <c r="AZ62" s="507"/>
      <c r="BA62" s="507"/>
      <c r="BB62" s="507"/>
      <c r="BC62" s="507"/>
      <c r="BD62" s="507"/>
      <c r="BE62" s="507"/>
      <c r="BF62" s="31"/>
    </row>
    <row r="63" spans="1:58">
      <c r="O63" s="60"/>
      <c r="P63" s="60"/>
      <c r="Q63" s="60">
        <v>-1</v>
      </c>
      <c r="R63" s="60">
        <v>2.5</v>
      </c>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row>
    <row r="64" spans="1:58">
      <c r="O64" s="60"/>
      <c r="P64" s="60"/>
      <c r="Q64" s="60">
        <v>0</v>
      </c>
      <c r="R64" s="60">
        <v>3</v>
      </c>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row>
    <row r="65" spans="9:57">
      <c r="O65" s="60"/>
      <c r="P65" s="60"/>
      <c r="Q65" s="60">
        <v>1</v>
      </c>
      <c r="R65" s="60">
        <v>2.5</v>
      </c>
      <c r="S65" s="60"/>
      <c r="T65" s="60"/>
      <c r="U65" s="60"/>
      <c r="V65" s="60"/>
      <c r="W65" s="60"/>
      <c r="X65" s="60"/>
      <c r="Y65" s="60"/>
      <c r="Z65" s="60"/>
      <c r="AA65" s="60"/>
      <c r="AB65" s="60"/>
      <c r="AC65" s="60"/>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row>
    <row r="66" spans="9:57">
      <c r="O66" s="60"/>
      <c r="P66" s="60"/>
      <c r="Q66" s="60">
        <v>2</v>
      </c>
      <c r="R66" s="60">
        <v>2.1</v>
      </c>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row>
    <row r="67" spans="9:57">
      <c r="O67" s="60"/>
      <c r="P67" s="60"/>
      <c r="Q67" s="60">
        <v>3</v>
      </c>
      <c r="R67" s="60">
        <v>1.8</v>
      </c>
      <c r="S67" s="60"/>
      <c r="T67" s="60"/>
      <c r="U67" s="60"/>
      <c r="V67" s="60"/>
      <c r="W67" s="60"/>
      <c r="X67" s="60"/>
      <c r="Y67" s="60"/>
      <c r="Z67" s="60"/>
      <c r="AA67" s="60"/>
      <c r="AB67" s="60"/>
      <c r="AC67" s="60"/>
      <c r="AD67" s="60"/>
      <c r="AE67" s="60"/>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row>
    <row r="68" spans="9:57">
      <c r="I68" s="31"/>
      <c r="O68" s="60"/>
      <c r="P68" s="60"/>
      <c r="Q68" s="60">
        <v>4</v>
      </c>
      <c r="R68" s="60">
        <v>1.5</v>
      </c>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row>
    <row r="69" spans="9:57">
      <c r="O69" s="60"/>
      <c r="P69" s="60"/>
      <c r="Q69" s="60">
        <v>5</v>
      </c>
      <c r="R69" s="60">
        <v>1.2</v>
      </c>
      <c r="S69" s="60"/>
      <c r="T69" s="60"/>
      <c r="U69" s="60"/>
      <c r="V69" s="60"/>
      <c r="W69" s="60"/>
      <c r="X69" s="60"/>
      <c r="Y69" s="60"/>
      <c r="Z69" s="60"/>
      <c r="AA69" s="60"/>
      <c r="AB69" s="60"/>
      <c r="AC69" s="60"/>
      <c r="AD69" s="60"/>
      <c r="AE69" s="60"/>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row>
    <row r="70" spans="9:57">
      <c r="O70" s="60"/>
      <c r="P70" s="60"/>
      <c r="Q70" s="60">
        <v>6</v>
      </c>
      <c r="R70" s="60">
        <v>1</v>
      </c>
      <c r="S70" s="60"/>
      <c r="T70" s="60"/>
      <c r="U70" s="60"/>
      <c r="V70" s="60"/>
      <c r="W70" s="60"/>
      <c r="X70" s="60"/>
      <c r="Y70" s="60"/>
      <c r="Z70" s="60"/>
      <c r="AA70" s="60"/>
      <c r="AB70" s="60"/>
      <c r="AC70" s="60"/>
      <c r="AD70" s="60"/>
      <c r="AE70" s="60"/>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row>
    <row r="71" spans="9:57">
      <c r="O71" s="60"/>
      <c r="P71" s="60"/>
      <c r="Q71" s="60">
        <v>7</v>
      </c>
      <c r="R71" s="60">
        <v>0.8</v>
      </c>
      <c r="S71" s="60"/>
      <c r="T71" s="60"/>
      <c r="U71" s="60"/>
      <c r="V71" s="60"/>
      <c r="W71" s="60"/>
      <c r="X71" s="60"/>
      <c r="Y71" s="60"/>
      <c r="Z71" s="60"/>
      <c r="AA71" s="60"/>
      <c r="AB71" s="60"/>
      <c r="AC71" s="60"/>
      <c r="AD71" s="60"/>
      <c r="AE71" s="60"/>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row>
    <row r="72" spans="9:57">
      <c r="Q72" s="61">
        <v>8</v>
      </c>
      <c r="R72" s="61">
        <v>0.6</v>
      </c>
    </row>
    <row r="73" spans="9:57">
      <c r="Q73" s="61">
        <v>9</v>
      </c>
      <c r="R73" s="61">
        <v>0.5</v>
      </c>
    </row>
    <row r="74" spans="9:57">
      <c r="Q74" s="61">
        <v>10</v>
      </c>
      <c r="R74" s="61">
        <v>0.4</v>
      </c>
    </row>
    <row r="75" spans="9:57">
      <c r="Q75" s="61">
        <v>11</v>
      </c>
      <c r="R75" s="61">
        <v>0.3</v>
      </c>
    </row>
    <row r="76" spans="9:57">
      <c r="Q76" s="61">
        <v>12</v>
      </c>
      <c r="R76" s="61">
        <v>0.3</v>
      </c>
    </row>
    <row r="77" spans="9:57">
      <c r="Q77" s="61">
        <v>13</v>
      </c>
      <c r="R77" s="61">
        <v>0.2</v>
      </c>
    </row>
    <row r="78" spans="9:57">
      <c r="Q78" s="61">
        <v>14</v>
      </c>
      <c r="R78" s="61">
        <v>0.2</v>
      </c>
    </row>
    <row r="79" spans="9:57">
      <c r="Q79" s="61">
        <v>15</v>
      </c>
      <c r="R79" s="61">
        <v>0.1</v>
      </c>
    </row>
    <row r="80" spans="9:57" ht="15">
      <c r="O80" s="225" t="s">
        <v>812</v>
      </c>
      <c r="P80" s="225" t="s">
        <v>812</v>
      </c>
    </row>
    <row r="81" spans="15:16" ht="15">
      <c r="O81" s="225" t="s">
        <v>85</v>
      </c>
      <c r="P81" s="225" t="s">
        <v>85</v>
      </c>
    </row>
    <row r="82" spans="15:16" ht="15">
      <c r="O82" s="225" t="s">
        <v>693</v>
      </c>
      <c r="P82" s="225" t="s">
        <v>693</v>
      </c>
    </row>
    <row r="83" spans="15:16" ht="15">
      <c r="O83" s="225" t="s">
        <v>202</v>
      </c>
      <c r="P83" s="225" t="s">
        <v>202</v>
      </c>
    </row>
    <row r="84" spans="15:16" ht="15">
      <c r="O84" s="225" t="s">
        <v>811</v>
      </c>
      <c r="P84" s="225" t="s">
        <v>811</v>
      </c>
    </row>
    <row r="85" spans="15:16" ht="15">
      <c r="O85" s="225" t="s">
        <v>681</v>
      </c>
      <c r="P85" s="225" t="s">
        <v>681</v>
      </c>
    </row>
    <row r="86" spans="15:16" ht="15">
      <c r="O86" s="225" t="s">
        <v>813</v>
      </c>
      <c r="P86" s="225" t="s">
        <v>813</v>
      </c>
    </row>
    <row r="87" spans="15:16" ht="15">
      <c r="O87" s="225" t="s">
        <v>819</v>
      </c>
      <c r="P87" s="225" t="s">
        <v>819</v>
      </c>
    </row>
    <row r="88" spans="15:16" ht="15">
      <c r="O88" s="225" t="s">
        <v>682</v>
      </c>
      <c r="P88" s="225" t="s">
        <v>682</v>
      </c>
    </row>
    <row r="89" spans="15:16" ht="15">
      <c r="O89" s="225" t="s">
        <v>683</v>
      </c>
      <c r="P89" s="225" t="s">
        <v>683</v>
      </c>
    </row>
    <row r="90" spans="15:16" ht="15">
      <c r="O90" s="225" t="s">
        <v>1128</v>
      </c>
      <c r="P90" s="643" t="s">
        <v>1143</v>
      </c>
    </row>
    <row r="91" spans="15:16" ht="15">
      <c r="O91" s="225" t="s">
        <v>1129</v>
      </c>
      <c r="P91" s="643" t="s">
        <v>1143</v>
      </c>
    </row>
    <row r="92" spans="15:16" ht="15">
      <c r="O92" s="225" t="s">
        <v>1130</v>
      </c>
      <c r="P92" s="643" t="s">
        <v>1144</v>
      </c>
    </row>
    <row r="93" spans="15:16" ht="15">
      <c r="O93" s="225" t="s">
        <v>1131</v>
      </c>
      <c r="P93" s="643" t="s">
        <v>1144</v>
      </c>
    </row>
    <row r="94" spans="15:16" ht="15">
      <c r="O94" s="225" t="s">
        <v>1132</v>
      </c>
      <c r="P94" s="643" t="s">
        <v>1144</v>
      </c>
    </row>
    <row r="95" spans="15:16" ht="15">
      <c r="O95" s="225" t="s">
        <v>1133</v>
      </c>
      <c r="P95" s="643" t="s">
        <v>1145</v>
      </c>
    </row>
    <row r="96" spans="15:16" ht="15">
      <c r="O96" s="225" t="s">
        <v>1134</v>
      </c>
      <c r="P96" s="643" t="s">
        <v>1145</v>
      </c>
    </row>
    <row r="97" spans="15:16" ht="15">
      <c r="O97" s="225" t="s">
        <v>1135</v>
      </c>
      <c r="P97" s="643" t="s">
        <v>1145</v>
      </c>
    </row>
    <row r="98" spans="15:16" ht="15">
      <c r="O98" s="225" t="s">
        <v>1136</v>
      </c>
      <c r="P98" s="643" t="s">
        <v>1145</v>
      </c>
    </row>
    <row r="99" spans="15:16" ht="15">
      <c r="O99" s="225" t="s">
        <v>1137</v>
      </c>
      <c r="P99" s="643" t="s">
        <v>1146</v>
      </c>
    </row>
    <row r="100" spans="15:16" ht="15">
      <c r="O100" s="225" t="s">
        <v>1138</v>
      </c>
      <c r="P100" s="643" t="s">
        <v>1146</v>
      </c>
    </row>
    <row r="101" spans="15:16" ht="15">
      <c r="O101" s="225" t="s">
        <v>1139</v>
      </c>
      <c r="P101" s="643" t="s">
        <v>1146</v>
      </c>
    </row>
    <row r="102" spans="15:16" ht="15">
      <c r="O102" s="225" t="s">
        <v>1140</v>
      </c>
      <c r="P102" s="643" t="s">
        <v>1146</v>
      </c>
    </row>
    <row r="103" spans="15:16" ht="15">
      <c r="O103" s="225" t="s">
        <v>1141</v>
      </c>
      <c r="P103" s="643" t="s">
        <v>1147</v>
      </c>
    </row>
    <row r="104" spans="15:16" ht="15.75" thickBot="1">
      <c r="O104" s="225" t="s">
        <v>1142</v>
      </c>
      <c r="P104" s="644" t="s">
        <v>1148</v>
      </c>
    </row>
  </sheetData>
  <sheetProtection algorithmName="SHA-512" hashValue="oPdSrf2wYsxu0vAsI9UkCR8Ejf1AjaN49mHi1vA+ItqCcE1SEdOIa16ScpreLjZRk9tc9IPhRQmi+etD3/CSxA==" saltValue="jdsH+y5zLbKVFPCX4WDNzQ==" spinCount="100000" sheet="1" objects="1" scenarios="1"/>
  <mergeCells count="1">
    <mergeCell ref="E16:K17"/>
  </mergeCells>
  <dataValidations count="1">
    <dataValidation type="list" allowBlank="1" showInputMessage="1" showErrorMessage="1" sqref="I38:I40">
      <formula1>"yes,no"</formula1>
    </dataValidation>
  </dataValidations>
  <pageMargins left="0.7" right="0.7" top="0.75" bottom="0.75" header="0.3" footer="0.3"/>
  <pageSetup paperSize="9" scale="48" orientation="portrait" horizontalDpi="4294967293" verticalDpi="4294967293"/>
  <headerFooter>
    <oddHeader>&amp;Linsert your details here&amp;Cinsert your logo here</oddHeader>
    <oddFooter>&amp;CCopyright Hendra Freedom Heat pumps
www.samsungehs.co.uk www.freedomhp.co.uk
02380274833</oddFooter>
  </headerFooter>
  <drawing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sheetPr enableFormatConditionsCalculation="0">
    <tabColor theme="0" tint="-0.249977111117893"/>
  </sheetPr>
  <dimension ref="A1:Q141"/>
  <sheetViews>
    <sheetView zoomScaleSheetLayoutView="100" workbookViewId="0">
      <selection activeCell="G137" sqref="G137"/>
    </sheetView>
  </sheetViews>
  <sheetFormatPr defaultColWidth="8.85546875" defaultRowHeight="15"/>
  <cols>
    <col min="2" max="2" width="6" customWidth="1"/>
    <col min="3" max="3" width="14.7109375" customWidth="1"/>
    <col min="4" max="4" width="60.28515625" customWidth="1"/>
    <col min="5" max="5" width="54.28515625" customWidth="1"/>
    <col min="6" max="7" width="18" customWidth="1"/>
    <col min="15" max="15" width="0" hidden="1" customWidth="1"/>
    <col min="16" max="16" width="22.28515625" hidden="1" customWidth="1"/>
    <col min="17" max="17" width="31.42578125" hidden="1" customWidth="1"/>
  </cols>
  <sheetData>
    <row r="1" spans="1:10">
      <c r="A1" s="63"/>
      <c r="B1" s="64"/>
      <c r="C1" s="63"/>
      <c r="D1" s="65"/>
    </row>
    <row r="2" spans="1:10" ht="23.25">
      <c r="A2" s="63"/>
      <c r="B2" s="785" t="s">
        <v>278</v>
      </c>
      <c r="C2" s="785"/>
      <c r="D2" s="785"/>
    </row>
    <row r="3" spans="1:10" ht="23.25">
      <c r="A3" s="63"/>
      <c r="B3" s="785" t="s">
        <v>279</v>
      </c>
      <c r="C3" s="785"/>
      <c r="D3" s="785"/>
    </row>
    <row r="4" spans="1:10" ht="18.75" thickBot="1">
      <c r="A4" s="63"/>
      <c r="B4" s="66"/>
      <c r="C4" s="63"/>
      <c r="D4" s="65"/>
    </row>
    <row r="5" spans="1:10" ht="15" customHeight="1" thickBot="1">
      <c r="A5" s="63"/>
      <c r="B5" s="786" t="s">
        <v>280</v>
      </c>
      <c r="C5" s="787"/>
      <c r="D5" s="788"/>
      <c r="E5" s="229"/>
      <c r="G5" s="600" t="s">
        <v>375</v>
      </c>
      <c r="H5" s="601"/>
      <c r="I5" s="601"/>
      <c r="J5" s="601"/>
    </row>
    <row r="6" spans="1:10" ht="15" customHeight="1">
      <c r="A6" s="63"/>
      <c r="B6" s="567">
        <v>1.1000000000000001</v>
      </c>
      <c r="C6" s="765" t="s">
        <v>281</v>
      </c>
      <c r="D6" s="766"/>
      <c r="E6" s="238">
        <f>'Data Entry Sheet'!D10</f>
        <v>0</v>
      </c>
      <c r="G6" s="600" t="s">
        <v>390</v>
      </c>
      <c r="H6" s="601"/>
      <c r="I6" s="601"/>
      <c r="J6" s="601"/>
    </row>
    <row r="7" spans="1:10" ht="15" customHeight="1">
      <c r="A7" s="63"/>
      <c r="B7" s="568">
        <v>1.2</v>
      </c>
      <c r="C7" s="767" t="s">
        <v>282</v>
      </c>
      <c r="D7" s="768"/>
      <c r="E7" s="238">
        <f>'Data Entry Sheet'!D11</f>
        <v>0</v>
      </c>
      <c r="G7" s="600" t="s">
        <v>393</v>
      </c>
      <c r="H7" s="601"/>
      <c r="I7" s="601"/>
      <c r="J7" s="601"/>
    </row>
    <row r="8" spans="1:10" ht="15" customHeight="1">
      <c r="A8" s="63"/>
      <c r="B8" s="568">
        <v>1.3</v>
      </c>
      <c r="C8" s="767" t="s">
        <v>283</v>
      </c>
      <c r="D8" s="768"/>
      <c r="E8" s="238">
        <f>'Data Entry Sheet'!D12</f>
        <v>0</v>
      </c>
      <c r="G8" s="600" t="s">
        <v>389</v>
      </c>
      <c r="H8" s="601"/>
      <c r="I8" s="601"/>
      <c r="J8" s="601"/>
    </row>
    <row r="9" spans="1:10" ht="15" customHeight="1">
      <c r="A9" s="63"/>
      <c r="B9" s="568">
        <v>1.4</v>
      </c>
      <c r="C9" s="767" t="s">
        <v>284</v>
      </c>
      <c r="D9" s="768"/>
      <c r="E9" s="238" t="str">
        <f>'Data Entry Sheet'!D13</f>
        <v>NIC5717</v>
      </c>
      <c r="G9" s="600" t="s">
        <v>394</v>
      </c>
      <c r="H9" s="601"/>
      <c r="I9" s="601"/>
      <c r="J9" s="601"/>
    </row>
    <row r="10" spans="1:10" ht="15" customHeight="1">
      <c r="A10" s="63"/>
      <c r="B10" s="568">
        <v>1.5</v>
      </c>
      <c r="C10" s="767" t="s">
        <v>285</v>
      </c>
      <c r="D10" s="768"/>
      <c r="E10" s="238" t="str">
        <f>'Data Entry Sheet'!D14</f>
        <v>Egensys Ltd</v>
      </c>
    </row>
    <row r="11" spans="1:10" ht="15" customHeight="1">
      <c r="A11" s="63"/>
      <c r="B11" s="568">
        <v>1.6</v>
      </c>
      <c r="C11" s="767" t="s">
        <v>286</v>
      </c>
      <c r="D11" s="768"/>
      <c r="E11" s="238" t="str">
        <f>'Data Entry Sheet'!D15</f>
        <v>Enterprise Business Centre, Carlton Road, Worksop, S81 7QF</v>
      </c>
    </row>
    <row r="12" spans="1:10" ht="15" customHeight="1">
      <c r="A12" s="63"/>
      <c r="B12" s="569">
        <v>1.7</v>
      </c>
      <c r="C12" s="783" t="s">
        <v>287</v>
      </c>
      <c r="D12" s="784"/>
      <c r="E12" s="238">
        <f>'Data Entry Sheet'!D16</f>
        <v>0</v>
      </c>
    </row>
    <row r="13" spans="1:10" ht="15.75" thickBot="1">
      <c r="A13" s="63"/>
      <c r="B13" s="774" t="s">
        <v>288</v>
      </c>
      <c r="C13" s="775"/>
      <c r="D13" s="776"/>
      <c r="E13" s="233"/>
    </row>
    <row r="14" spans="1:10" ht="16.5" customHeight="1">
      <c r="A14" s="63"/>
      <c r="B14" s="567">
        <v>2.1</v>
      </c>
      <c r="C14" s="765" t="s">
        <v>289</v>
      </c>
      <c r="D14" s="766"/>
      <c r="E14" s="234"/>
    </row>
    <row r="15" spans="1:10" ht="17.25" customHeight="1">
      <c r="A15" s="63"/>
      <c r="B15" s="568"/>
      <c r="C15" s="767" t="s">
        <v>290</v>
      </c>
      <c r="D15" s="768"/>
      <c r="E15" s="239" t="s">
        <v>124</v>
      </c>
    </row>
    <row r="16" spans="1:10" ht="15" customHeight="1">
      <c r="A16" s="63"/>
      <c r="B16" s="568"/>
      <c r="C16" s="767" t="s">
        <v>291</v>
      </c>
      <c r="D16" s="768"/>
      <c r="E16" s="239" t="str">
        <f>IF('Data Entry Sheet'!I31="Heating and Hot Water", "Yes", "No")</f>
        <v>Yes</v>
      </c>
    </row>
    <row r="17" spans="1:5" ht="16.5" customHeight="1">
      <c r="A17" s="63"/>
      <c r="B17" s="568"/>
      <c r="C17" s="767" t="s">
        <v>292</v>
      </c>
      <c r="D17" s="768"/>
      <c r="E17" s="231"/>
    </row>
    <row r="18" spans="1:5" ht="15.75" customHeight="1">
      <c r="A18" s="63"/>
      <c r="B18" s="568">
        <v>2.2000000000000002</v>
      </c>
      <c r="C18" s="767" t="s">
        <v>293</v>
      </c>
      <c r="D18" s="768"/>
      <c r="E18" s="232" t="s">
        <v>294</v>
      </c>
    </row>
    <row r="19" spans="1:5" ht="17.25" customHeight="1" thickBot="1">
      <c r="A19" s="63"/>
      <c r="B19" s="570">
        <v>2.2999999999999998</v>
      </c>
      <c r="C19" s="769" t="s">
        <v>295</v>
      </c>
      <c r="D19" s="770"/>
      <c r="E19" s="239" t="str">
        <f>IF(equipment!E10="Heating Only","No",+IF(equipment!E10="Heating and Hot Water","No","Bivalent"))</f>
        <v>No</v>
      </c>
    </row>
    <row r="20" spans="1:5" ht="15.75" thickBot="1">
      <c r="A20" s="63"/>
      <c r="B20" s="774" t="s">
        <v>296</v>
      </c>
      <c r="C20" s="775"/>
      <c r="D20" s="776"/>
      <c r="E20" s="235"/>
    </row>
    <row r="21" spans="1:5" ht="30" customHeight="1">
      <c r="A21" s="63"/>
      <c r="B21" s="567">
        <v>3.1</v>
      </c>
      <c r="C21" s="765" t="s">
        <v>297</v>
      </c>
      <c r="D21" s="766"/>
      <c r="E21" s="587" t="s">
        <v>124</v>
      </c>
    </row>
    <row r="22" spans="1:5" ht="30" customHeight="1" thickBot="1">
      <c r="A22" s="63"/>
      <c r="B22" s="570"/>
      <c r="C22" s="769" t="s">
        <v>298</v>
      </c>
      <c r="D22" s="770"/>
      <c r="E22" s="587" t="str">
        <f>IF('MCS020 sound test'!K46&lt;42,"Yes","No")</f>
        <v>Yes</v>
      </c>
    </row>
    <row r="23" spans="1:5" ht="15.75" thickBot="1">
      <c r="A23" s="63"/>
      <c r="B23" s="774" t="s">
        <v>299</v>
      </c>
      <c r="C23" s="775"/>
      <c r="D23" s="776"/>
      <c r="E23" s="237"/>
    </row>
    <row r="24" spans="1:5" ht="18" customHeight="1">
      <c r="A24" s="63"/>
      <c r="B24" s="567">
        <v>4.0999999999999996</v>
      </c>
      <c r="C24" s="765" t="s">
        <v>300</v>
      </c>
      <c r="D24" s="766"/>
      <c r="E24" s="238" t="s">
        <v>124</v>
      </c>
    </row>
    <row r="25" spans="1:5" ht="17.25" customHeight="1">
      <c r="A25" s="63"/>
      <c r="B25" s="568"/>
      <c r="C25" s="767" t="s">
        <v>301</v>
      </c>
      <c r="D25" s="768"/>
      <c r="E25" s="238" t="s">
        <v>1090</v>
      </c>
    </row>
    <row r="26" spans="1:5" ht="17.25" customHeight="1">
      <c r="A26" s="63"/>
      <c r="B26" s="568"/>
      <c r="C26" s="767" t="s">
        <v>302</v>
      </c>
      <c r="D26" s="768"/>
      <c r="E26" s="239">
        <f>'Data Entry Sheet'!D32</f>
        <v>-4</v>
      </c>
    </row>
    <row r="27" spans="1:5" ht="16.5" customHeight="1">
      <c r="A27" s="63"/>
      <c r="B27" s="568"/>
      <c r="C27" s="767" t="s">
        <v>303</v>
      </c>
      <c r="D27" s="768"/>
      <c r="E27" s="239">
        <f>'Data Entry Sheet'!D33</f>
        <v>9.2000000000000011</v>
      </c>
    </row>
    <row r="28" spans="1:5" ht="16.5" customHeight="1">
      <c r="A28" s="63"/>
      <c r="B28" s="568"/>
      <c r="C28" s="767" t="s">
        <v>304</v>
      </c>
      <c r="D28" s="768"/>
      <c r="E28" s="240">
        <v>21</v>
      </c>
    </row>
    <row r="29" spans="1:5" ht="17.25" customHeight="1">
      <c r="A29" s="63"/>
      <c r="B29" s="568"/>
      <c r="C29" s="767" t="s">
        <v>305</v>
      </c>
      <c r="D29" s="768"/>
      <c r="E29" s="239">
        <f>equipment!E14</f>
        <v>6.4629997995215307</v>
      </c>
    </row>
    <row r="30" spans="1:5" ht="30" customHeight="1">
      <c r="A30" s="63"/>
      <c r="B30" s="568">
        <v>4.2</v>
      </c>
      <c r="C30" s="767" t="s">
        <v>306</v>
      </c>
      <c r="D30" s="768"/>
      <c r="E30" s="585" t="s">
        <v>374</v>
      </c>
    </row>
    <row r="31" spans="1:5" ht="15" customHeight="1">
      <c r="A31" s="63"/>
      <c r="B31" s="568"/>
      <c r="C31" s="767" t="s">
        <v>307</v>
      </c>
      <c r="D31" s="768"/>
      <c r="E31" s="238" t="s">
        <v>374</v>
      </c>
    </row>
    <row r="32" spans="1:5" ht="16.5" customHeight="1">
      <c r="A32" s="63"/>
      <c r="B32" s="568"/>
      <c r="C32" s="767" t="s">
        <v>308</v>
      </c>
      <c r="D32" s="768"/>
      <c r="E32" s="238" t="s">
        <v>374</v>
      </c>
    </row>
    <row r="33" spans="1:5" ht="30" customHeight="1">
      <c r="A33" s="63"/>
      <c r="B33" s="568">
        <v>4.3</v>
      </c>
      <c r="C33" s="767" t="s">
        <v>309</v>
      </c>
      <c r="D33" s="768"/>
      <c r="E33" s="566" t="s">
        <v>124</v>
      </c>
    </row>
    <row r="34" spans="1:5" ht="30" customHeight="1">
      <c r="A34" s="63"/>
      <c r="B34" s="568"/>
      <c r="C34" s="767" t="s">
        <v>310</v>
      </c>
      <c r="D34" s="768"/>
      <c r="E34" s="566" t="s">
        <v>124</v>
      </c>
    </row>
    <row r="35" spans="1:5" ht="30" customHeight="1" thickBot="1">
      <c r="A35" s="63"/>
      <c r="B35" s="570">
        <v>4.4000000000000004</v>
      </c>
      <c r="C35" s="769" t="s">
        <v>311</v>
      </c>
      <c r="D35" s="770"/>
      <c r="E35" s="566" t="s">
        <v>124</v>
      </c>
    </row>
    <row r="36" spans="1:5" ht="15.75" thickBot="1">
      <c r="A36" s="63"/>
      <c r="B36" s="774" t="s">
        <v>312</v>
      </c>
      <c r="C36" s="775"/>
      <c r="D36" s="776"/>
      <c r="E36" s="237"/>
    </row>
    <row r="37" spans="1:5" ht="30" customHeight="1">
      <c r="A37" s="63"/>
      <c r="B37" s="567">
        <v>5.0999999999999996</v>
      </c>
      <c r="C37" s="781" t="s">
        <v>313</v>
      </c>
      <c r="D37" s="782"/>
      <c r="E37" s="566">
        <f>IF('Data Entry Sheet'!I28=55,1.44,+IF('Data Entry Sheet'!I28=50,1.68,+IF('Data Entry Sheet'!I28=45,4.04,+IF('Data Entry Sheet'!I28=40,2.57,+IF('Data Entry Sheet'!I28=35,3.5)))))</f>
        <v>1.68</v>
      </c>
    </row>
    <row r="38" spans="1:5" ht="30" customHeight="1">
      <c r="A38" s="63"/>
      <c r="B38" s="568"/>
      <c r="C38" s="777" t="s">
        <v>314</v>
      </c>
      <c r="D38" s="778"/>
      <c r="E38" s="771" t="s">
        <v>1041</v>
      </c>
    </row>
    <row r="39" spans="1:5" ht="17.25" customHeight="1">
      <c r="A39" s="63"/>
      <c r="B39" s="572"/>
      <c r="C39" s="777" t="s">
        <v>315</v>
      </c>
      <c r="D39" s="778"/>
      <c r="E39" s="772"/>
    </row>
    <row r="40" spans="1:5" ht="21" customHeight="1" thickBot="1">
      <c r="A40" s="63"/>
      <c r="B40" s="568"/>
      <c r="C40" s="779" t="s">
        <v>909</v>
      </c>
      <c r="D40" s="780"/>
      <c r="E40" s="773"/>
    </row>
    <row r="41" spans="1:5" ht="30" customHeight="1" thickBot="1">
      <c r="A41" s="63"/>
      <c r="B41" s="360" t="s">
        <v>70</v>
      </c>
      <c r="C41" s="559" t="s">
        <v>750</v>
      </c>
      <c r="D41" s="583" t="s">
        <v>751</v>
      </c>
      <c r="E41" s="552" t="s">
        <v>1000</v>
      </c>
    </row>
    <row r="42" spans="1:5" ht="21" customHeight="1" thickBot="1">
      <c r="A42" s="63"/>
      <c r="B42" s="201" t="str">
        <f>'MCS performance estimate'!A19</f>
        <v>Kitchen</v>
      </c>
      <c r="C42" s="573">
        <f>'MCS performance estimate'!B19</f>
        <v>76.757713360323891</v>
      </c>
      <c r="D42" s="582" t="str">
        <f>'MCS performance estimate'!C19</f>
        <v>Radiators</v>
      </c>
      <c r="E42" s="561" t="str">
        <f>'MCS performance estimate'!E19</f>
        <v>Not Applicable</v>
      </c>
    </row>
    <row r="43" spans="1:5" ht="21" customHeight="1" thickBot="1">
      <c r="A43" s="63"/>
      <c r="B43" s="201" t="str">
        <f>'MCS performance estimate'!A20</f>
        <v>WC</v>
      </c>
      <c r="C43" s="573">
        <f>'MCS performance estimate'!B20</f>
        <v>88.763324357405153</v>
      </c>
      <c r="D43" s="582" t="str">
        <f>'MCS performance estimate'!C20</f>
        <v>Radiators</v>
      </c>
      <c r="E43" s="561" t="str">
        <f>'MCS performance estimate'!E20</f>
        <v>Not Applicable</v>
      </c>
    </row>
    <row r="44" spans="1:5" ht="21" customHeight="1" thickBot="1">
      <c r="A44" s="63"/>
      <c r="B44" s="201" t="str">
        <f>'MCS performance estimate'!A21</f>
        <v>Lounge</v>
      </c>
      <c r="C44" s="573">
        <f>'MCS performance estimate'!B21</f>
        <v>93.647924641148322</v>
      </c>
      <c r="D44" s="582" t="str">
        <f>'MCS performance estimate'!C21</f>
        <v>Radiators</v>
      </c>
      <c r="E44" s="561" t="str">
        <f>'MCS performance estimate'!E21</f>
        <v>Not Applicable</v>
      </c>
    </row>
    <row r="45" spans="1:5" ht="21" customHeight="1" thickBot="1">
      <c r="A45" s="63"/>
      <c r="B45" s="201" t="str">
        <f>'MCS performance estimate'!A22</f>
        <v>Dining Room</v>
      </c>
      <c r="C45" s="573">
        <f>'MCS performance estimate'!B22</f>
        <v>93.79133074162678</v>
      </c>
      <c r="D45" s="582" t="str">
        <f>'MCS performance estimate'!C22</f>
        <v>Radiators</v>
      </c>
      <c r="E45" s="561" t="str">
        <f>'MCS performance estimate'!E22</f>
        <v>Not Applicable</v>
      </c>
    </row>
    <row r="46" spans="1:5" ht="21" customHeight="1" thickBot="1">
      <c r="A46" s="63"/>
      <c r="B46" s="201" t="str">
        <f>'MCS performance estimate'!A23</f>
        <v>Landing</v>
      </c>
      <c r="C46" s="573">
        <f>'MCS performance estimate'!B23</f>
        <v>90.314086124401939</v>
      </c>
      <c r="D46" s="582" t="str">
        <f>'MCS performance estimate'!C23</f>
        <v>Radiators</v>
      </c>
      <c r="E46" s="561" t="str">
        <f>'MCS performance estimate'!E23</f>
        <v>Not Applicable</v>
      </c>
    </row>
    <row r="47" spans="1:5" ht="21" customHeight="1" thickBot="1">
      <c r="A47" s="63"/>
      <c r="B47" s="201" t="str">
        <f>'MCS performance estimate'!A24</f>
        <v>Bed 3</v>
      </c>
      <c r="C47" s="573">
        <f>'MCS performance estimate'!B24</f>
        <v>73.600347424711515</v>
      </c>
      <c r="D47" s="582" t="str">
        <f>'MCS performance estimate'!C24</f>
        <v>Radiators</v>
      </c>
      <c r="E47" s="561" t="str">
        <f>'MCS performance estimate'!E24</f>
        <v>Not Applicable</v>
      </c>
    </row>
    <row r="48" spans="1:5" ht="21" customHeight="1" thickBot="1">
      <c r="A48" s="63"/>
      <c r="B48" s="201" t="str">
        <f>'MCS performance estimate'!A25</f>
        <v>Bed 2</v>
      </c>
      <c r="C48" s="573">
        <f>'MCS performance estimate'!B25</f>
        <v>71.578748325358845</v>
      </c>
      <c r="D48" s="582" t="str">
        <f>'MCS performance estimate'!C25</f>
        <v>Radiators</v>
      </c>
      <c r="E48" s="561" t="str">
        <f>'MCS performance estimate'!E25</f>
        <v>Not Applicable</v>
      </c>
    </row>
    <row r="49" spans="1:5" ht="21" customHeight="1" thickBot="1">
      <c r="A49" s="63"/>
      <c r="B49" s="201" t="str">
        <f>'MCS performance estimate'!A26</f>
        <v>Bed 1</v>
      </c>
      <c r="C49" s="573">
        <f>'MCS performance estimate'!B26</f>
        <v>49.516854545454549</v>
      </c>
      <c r="D49" s="582" t="str">
        <f>'MCS performance estimate'!C26</f>
        <v>Radiators</v>
      </c>
      <c r="E49" s="561" t="str">
        <f>'MCS performance estimate'!E26</f>
        <v>Not Applicable</v>
      </c>
    </row>
    <row r="50" spans="1:5" ht="21" customHeight="1" thickBot="1">
      <c r="A50" s="63"/>
      <c r="B50" s="201" t="str">
        <f>'MCS performance estimate'!A27</f>
        <v>En Suite</v>
      </c>
      <c r="C50" s="573">
        <f>'MCS performance estimate'!B27</f>
        <v>95.593486298390616</v>
      </c>
      <c r="D50" s="582" t="str">
        <f>'MCS performance estimate'!C27</f>
        <v>Radiators</v>
      </c>
      <c r="E50" s="561" t="str">
        <f>'MCS performance estimate'!E27</f>
        <v>Not Applicable</v>
      </c>
    </row>
    <row r="51" spans="1:5" ht="21" customHeight="1" thickBot="1">
      <c r="A51" s="63"/>
      <c r="B51" s="201" t="str">
        <f>'MCS performance estimate'!A28</f>
        <v>Room 10</v>
      </c>
      <c r="C51" s="573" t="e">
        <f>'MCS performance estimate'!B28</f>
        <v>#DIV/0!</v>
      </c>
      <c r="D51" s="582" t="str">
        <f>'MCS performance estimate'!C28</f>
        <v>Radiators</v>
      </c>
      <c r="E51" s="561" t="str">
        <f>'MCS performance estimate'!E28</f>
        <v>Not Applicable</v>
      </c>
    </row>
    <row r="52" spans="1:5" ht="21" customHeight="1" thickBot="1">
      <c r="A52" s="63"/>
      <c r="B52" s="201" t="str">
        <f>'MCS performance estimate'!A29</f>
        <v>Room 11</v>
      </c>
      <c r="C52" s="573" t="e">
        <f>'MCS performance estimate'!B29</f>
        <v>#DIV/0!</v>
      </c>
      <c r="D52" s="582" t="str">
        <f>'MCS performance estimate'!C29</f>
        <v>Radiators</v>
      </c>
      <c r="E52" s="561" t="str">
        <f>'MCS performance estimate'!E29</f>
        <v>Not Applicable</v>
      </c>
    </row>
    <row r="53" spans="1:5" ht="21" customHeight="1" thickBot="1">
      <c r="A53" s="63"/>
      <c r="B53" s="201" t="str">
        <f>'MCS performance estimate'!A30</f>
        <v>Room 12</v>
      </c>
      <c r="C53" s="573" t="e">
        <f>'MCS performance estimate'!B30</f>
        <v>#DIV/0!</v>
      </c>
      <c r="D53" s="582" t="str">
        <f>'MCS performance estimate'!C30</f>
        <v>Radiators</v>
      </c>
      <c r="E53" s="561" t="str">
        <f>'MCS performance estimate'!E30</f>
        <v>Not Applicable</v>
      </c>
    </row>
    <row r="54" spans="1:5" ht="21" customHeight="1" thickBot="1">
      <c r="A54" s="63"/>
      <c r="B54" s="201" t="str">
        <f>'MCS performance estimate'!A31</f>
        <v>Room 13</v>
      </c>
      <c r="C54" s="573" t="e">
        <f>'MCS performance estimate'!B31</f>
        <v>#DIV/0!</v>
      </c>
      <c r="D54" s="582" t="str">
        <f>'MCS performance estimate'!C31</f>
        <v>Radiators</v>
      </c>
      <c r="E54" s="561" t="str">
        <f>'MCS performance estimate'!E31</f>
        <v>Not Applicable</v>
      </c>
    </row>
    <row r="55" spans="1:5" ht="21" customHeight="1" thickBot="1">
      <c r="A55" s="63"/>
      <c r="B55" s="201" t="str">
        <f>'MCS performance estimate'!A32</f>
        <v>Room 14</v>
      </c>
      <c r="C55" s="573" t="e">
        <f>'MCS performance estimate'!B32</f>
        <v>#DIV/0!</v>
      </c>
      <c r="D55" s="582" t="str">
        <f>'MCS performance estimate'!C32</f>
        <v>Radiators</v>
      </c>
      <c r="E55" s="561" t="str">
        <f>'MCS performance estimate'!E32</f>
        <v>Not Applicable</v>
      </c>
    </row>
    <row r="56" spans="1:5" ht="21" customHeight="1" thickBot="1">
      <c r="A56" s="63"/>
      <c r="B56" s="201" t="str">
        <f>'MCS performance estimate'!A33</f>
        <v>Room 15</v>
      </c>
      <c r="C56" s="573" t="e">
        <f>'MCS performance estimate'!B33</f>
        <v>#DIV/0!</v>
      </c>
      <c r="D56" s="582" t="str">
        <f>'MCS performance estimate'!C33</f>
        <v>Radiators</v>
      </c>
      <c r="E56" s="561" t="str">
        <f>'MCS performance estimate'!E33</f>
        <v>Not Applicable</v>
      </c>
    </row>
    <row r="57" spans="1:5" ht="21" customHeight="1" thickBot="1">
      <c r="A57" s="63"/>
      <c r="B57" s="201" t="str">
        <f>'MCS performance estimate'!A34</f>
        <v>Room 16</v>
      </c>
      <c r="C57" s="573" t="e">
        <f>'MCS performance estimate'!B34</f>
        <v>#DIV/0!</v>
      </c>
      <c r="D57" s="582" t="str">
        <f>'MCS performance estimate'!C34</f>
        <v>Radiators</v>
      </c>
      <c r="E57" s="561" t="str">
        <f>'MCS performance estimate'!E34</f>
        <v>Not Applicable</v>
      </c>
    </row>
    <row r="58" spans="1:5" ht="21" customHeight="1" thickBot="1">
      <c r="A58" s="63"/>
      <c r="B58" s="201" t="str">
        <f>'MCS performance estimate'!A35</f>
        <v>Room 17</v>
      </c>
      <c r="C58" s="573" t="e">
        <f>'MCS performance estimate'!B35</f>
        <v>#DIV/0!</v>
      </c>
      <c r="D58" s="582" t="str">
        <f>'MCS performance estimate'!C35</f>
        <v>Radiators</v>
      </c>
      <c r="E58" s="561" t="str">
        <f>'MCS performance estimate'!E35</f>
        <v>Not Applicable</v>
      </c>
    </row>
    <row r="59" spans="1:5" ht="21" customHeight="1" thickBot="1">
      <c r="A59" s="63"/>
      <c r="B59" s="201" t="str">
        <f>'MCS performance estimate'!A36</f>
        <v>Room 18</v>
      </c>
      <c r="C59" s="573" t="e">
        <f>'MCS performance estimate'!B36</f>
        <v>#DIV/0!</v>
      </c>
      <c r="D59" s="582" t="str">
        <f>'MCS performance estimate'!C36</f>
        <v>Radiators</v>
      </c>
      <c r="E59" s="561" t="str">
        <f>'MCS performance estimate'!E36</f>
        <v>Not Applicable</v>
      </c>
    </row>
    <row r="60" spans="1:5" ht="21" customHeight="1" thickBot="1">
      <c r="A60" s="63"/>
      <c r="B60" s="201" t="str">
        <f>'MCS performance estimate'!A37</f>
        <v>Room 19</v>
      </c>
      <c r="C60" s="573" t="e">
        <f>'MCS performance estimate'!B37</f>
        <v>#DIV/0!</v>
      </c>
      <c r="D60" s="582" t="str">
        <f>'MCS performance estimate'!C37</f>
        <v>Radiators</v>
      </c>
      <c r="E60" s="561" t="str">
        <f>'MCS performance estimate'!E37</f>
        <v>Not Applicable</v>
      </c>
    </row>
    <row r="61" spans="1:5" ht="21" customHeight="1" thickBot="1">
      <c r="A61" s="63"/>
      <c r="B61" s="201" t="str">
        <f>'MCS performance estimate'!A38</f>
        <v>Room 20</v>
      </c>
      <c r="C61" s="573" t="e">
        <f>'MCS performance estimate'!B38</f>
        <v>#DIV/0!</v>
      </c>
      <c r="D61" s="582" t="str">
        <f>'MCS performance estimate'!C38</f>
        <v>Radiators</v>
      </c>
      <c r="E61" s="561" t="str">
        <f>'MCS performance estimate'!E38</f>
        <v>Not Applicable</v>
      </c>
    </row>
    <row r="62" spans="1:5" ht="21" customHeight="1" thickBot="1">
      <c r="A62" s="63"/>
      <c r="B62" s="201" t="str">
        <f>'MCS performance estimate'!A39</f>
        <v>Room 21</v>
      </c>
      <c r="C62" s="573" t="e">
        <f>'MCS performance estimate'!B39</f>
        <v>#DIV/0!</v>
      </c>
      <c r="D62" s="582" t="str">
        <f>'MCS performance estimate'!C39</f>
        <v>Radiators</v>
      </c>
      <c r="E62" s="561" t="str">
        <f>'MCS performance estimate'!E39</f>
        <v>Not Applicable</v>
      </c>
    </row>
    <row r="63" spans="1:5" ht="21" customHeight="1" thickBot="1">
      <c r="A63" s="63"/>
      <c r="B63" s="201" t="str">
        <f>'MCS performance estimate'!A40</f>
        <v>Room 22</v>
      </c>
      <c r="C63" s="573" t="e">
        <f>'MCS performance estimate'!B40</f>
        <v>#DIV/0!</v>
      </c>
      <c r="D63" s="582" t="str">
        <f>'MCS performance estimate'!C40</f>
        <v>Radiators</v>
      </c>
      <c r="E63" s="561" t="str">
        <f>'MCS performance estimate'!E40</f>
        <v>Not Applicable</v>
      </c>
    </row>
    <row r="64" spans="1:5" ht="21" customHeight="1" thickBot="1">
      <c r="A64" s="63"/>
      <c r="B64" s="201" t="str">
        <f>'MCS performance estimate'!A41</f>
        <v>Room 23</v>
      </c>
      <c r="C64" s="573" t="e">
        <f>'MCS performance estimate'!B41</f>
        <v>#DIV/0!</v>
      </c>
      <c r="D64" s="582" t="str">
        <f>'MCS performance estimate'!C41</f>
        <v>Radiators</v>
      </c>
      <c r="E64" s="561" t="str">
        <f>'MCS performance estimate'!E41</f>
        <v>Not Applicable</v>
      </c>
    </row>
    <row r="65" spans="1:5" ht="21" customHeight="1" thickBot="1">
      <c r="A65" s="63"/>
      <c r="B65" s="201" t="str">
        <f>'MCS performance estimate'!A42</f>
        <v>Room 24</v>
      </c>
      <c r="C65" s="573" t="e">
        <f>'MCS performance estimate'!B42</f>
        <v>#DIV/0!</v>
      </c>
      <c r="D65" s="582" t="str">
        <f>'MCS performance estimate'!C42</f>
        <v>Radiators</v>
      </c>
      <c r="E65" s="561" t="str">
        <f>'MCS performance estimate'!E42</f>
        <v>Not Applicable</v>
      </c>
    </row>
    <row r="66" spans="1:5" ht="21" customHeight="1" thickBot="1">
      <c r="A66" s="63"/>
      <c r="B66" s="201" t="str">
        <f>'MCS performance estimate'!A43</f>
        <v>Room 25</v>
      </c>
      <c r="C66" s="573" t="e">
        <f>'MCS performance estimate'!B43</f>
        <v>#DIV/0!</v>
      </c>
      <c r="D66" s="582" t="str">
        <f>'MCS performance estimate'!C43</f>
        <v>Radiators</v>
      </c>
      <c r="E66" s="561" t="str">
        <f>'MCS performance estimate'!E43</f>
        <v>Not Applicable</v>
      </c>
    </row>
    <row r="67" spans="1:5" ht="21" customHeight="1" thickBot="1">
      <c r="A67" s="63"/>
      <c r="B67" s="201" t="str">
        <f>'MCS performance estimate'!A44</f>
        <v>Room 26</v>
      </c>
      <c r="C67" s="573" t="e">
        <f>'MCS performance estimate'!B44</f>
        <v>#DIV/0!</v>
      </c>
      <c r="D67" s="582" t="str">
        <f>'MCS performance estimate'!C44</f>
        <v>Radiators</v>
      </c>
      <c r="E67" s="561" t="str">
        <f>'MCS performance estimate'!E44</f>
        <v>Not Applicable</v>
      </c>
    </row>
    <row r="68" spans="1:5" ht="21" customHeight="1" thickBot="1">
      <c r="A68" s="63"/>
      <c r="B68" s="201" t="str">
        <f>'MCS performance estimate'!A45</f>
        <v>Room 27</v>
      </c>
      <c r="C68" s="573" t="e">
        <f>'MCS performance estimate'!B45</f>
        <v>#DIV/0!</v>
      </c>
      <c r="D68" s="582" t="str">
        <f>'MCS performance estimate'!C45</f>
        <v>Radiators</v>
      </c>
      <c r="E68" s="561" t="str">
        <f>'MCS performance estimate'!E45</f>
        <v>Not Applicable</v>
      </c>
    </row>
    <row r="69" spans="1:5" ht="21" customHeight="1" thickBot="1">
      <c r="A69" s="63"/>
      <c r="B69" s="201" t="str">
        <f>'MCS performance estimate'!A46</f>
        <v>Room 28</v>
      </c>
      <c r="C69" s="582" t="e">
        <f>'MCS performance estimate'!B46</f>
        <v>#DIV/0!</v>
      </c>
      <c r="D69" s="582" t="str">
        <f>'MCS performance estimate'!C46</f>
        <v>Radiators</v>
      </c>
      <c r="E69" s="561" t="str">
        <f>'MCS performance estimate'!E46</f>
        <v>Not Applicable</v>
      </c>
    </row>
    <row r="70" spans="1:5" ht="21" customHeight="1" thickBot="1">
      <c r="A70" s="63"/>
      <c r="B70" s="201" t="str">
        <f>'MCS performance estimate'!A47</f>
        <v>Room 29</v>
      </c>
      <c r="C70" s="582" t="e">
        <f>'MCS performance estimate'!B47</f>
        <v>#DIV/0!</v>
      </c>
      <c r="D70" s="582" t="str">
        <f>'MCS performance estimate'!C47</f>
        <v>Radiators</v>
      </c>
      <c r="E70" s="561" t="str">
        <f>'MCS performance estimate'!E47</f>
        <v>Not Applicable</v>
      </c>
    </row>
    <row r="71" spans="1:5" ht="21" customHeight="1" thickBot="1">
      <c r="A71" s="63"/>
      <c r="B71" s="201" t="str">
        <f>'MCS performance estimate'!A48</f>
        <v>Room 30</v>
      </c>
      <c r="C71" s="573" t="e">
        <f>'MCS performance estimate'!B48</f>
        <v>#DIV/0!</v>
      </c>
      <c r="D71" s="582" t="str">
        <f>'MCS performance estimate'!C48</f>
        <v>Radiators</v>
      </c>
      <c r="E71" s="561" t="str">
        <f>'MCS performance estimate'!E48</f>
        <v>Not Applicable</v>
      </c>
    </row>
    <row r="72" spans="1:5" ht="21" customHeight="1" thickBot="1">
      <c r="A72" s="63"/>
      <c r="B72" s="201" t="str">
        <f>'MCS performance estimate'!A49</f>
        <v>Room 31</v>
      </c>
      <c r="C72" s="573" t="e">
        <f>'MCS performance estimate'!B49</f>
        <v>#DIV/0!</v>
      </c>
      <c r="D72" s="582" t="str">
        <f>'MCS performance estimate'!C49</f>
        <v>Radiators</v>
      </c>
      <c r="E72" s="561" t="str">
        <f>'MCS performance estimate'!E49</f>
        <v>Not Applicable</v>
      </c>
    </row>
    <row r="73" spans="1:5" ht="21" customHeight="1" thickBot="1">
      <c r="A73" s="63"/>
      <c r="B73" s="201" t="str">
        <f>'MCS performance estimate'!A50</f>
        <v>Room 32</v>
      </c>
      <c r="C73" s="573" t="e">
        <f>'MCS performance estimate'!B50</f>
        <v>#DIV/0!</v>
      </c>
      <c r="D73" s="582" t="str">
        <f>'MCS performance estimate'!C50</f>
        <v>Radiators</v>
      </c>
      <c r="E73" s="561" t="str">
        <f>'MCS performance estimate'!E50</f>
        <v>Not Applicable</v>
      </c>
    </row>
    <row r="74" spans="1:5" ht="21" customHeight="1" thickBot="1">
      <c r="A74" s="63"/>
      <c r="B74" s="201" t="str">
        <f>'MCS performance estimate'!A51</f>
        <v>Room 33</v>
      </c>
      <c r="C74" s="573" t="e">
        <f>'MCS performance estimate'!B51</f>
        <v>#DIV/0!</v>
      </c>
      <c r="D74" s="582" t="str">
        <f>'MCS performance estimate'!C51</f>
        <v>Radiators</v>
      </c>
      <c r="E74" s="561" t="str">
        <f>'MCS performance estimate'!E51</f>
        <v>Not Applicable</v>
      </c>
    </row>
    <row r="75" spans="1:5" ht="21" customHeight="1" thickBot="1">
      <c r="A75" s="63"/>
      <c r="B75" s="201" t="str">
        <f>'MCS performance estimate'!A52</f>
        <v>Room 34</v>
      </c>
      <c r="C75" s="573" t="e">
        <f>'MCS performance estimate'!B52</f>
        <v>#DIV/0!</v>
      </c>
      <c r="D75" s="582" t="str">
        <f>'MCS performance estimate'!C52</f>
        <v>Radiators</v>
      </c>
      <c r="E75" s="561" t="str">
        <f>'MCS performance estimate'!E52</f>
        <v>Not Applicable</v>
      </c>
    </row>
    <row r="76" spans="1:5" ht="21" customHeight="1" thickBot="1">
      <c r="A76" s="63"/>
      <c r="B76" s="201" t="str">
        <f>'MCS performance estimate'!A53</f>
        <v>Room 35</v>
      </c>
      <c r="C76" s="573" t="e">
        <f>'MCS performance estimate'!B53</f>
        <v>#DIV/0!</v>
      </c>
      <c r="D76" s="582" t="str">
        <f>'MCS performance estimate'!C53</f>
        <v>Radiators</v>
      </c>
      <c r="E76" s="561" t="str">
        <f>'MCS performance estimate'!E53</f>
        <v>Not Applicable</v>
      </c>
    </row>
    <row r="77" spans="1:5" ht="21" customHeight="1" thickBot="1">
      <c r="A77" s="63"/>
      <c r="B77" s="201" t="str">
        <f>'MCS performance estimate'!A54</f>
        <v>Room 36</v>
      </c>
      <c r="C77" s="573" t="e">
        <f>'MCS performance estimate'!B54</f>
        <v>#DIV/0!</v>
      </c>
      <c r="D77" s="582" t="str">
        <f>'MCS performance estimate'!C54</f>
        <v>Radiators</v>
      </c>
      <c r="E77" s="561" t="str">
        <f>'MCS performance estimate'!E54</f>
        <v>Not Applicable</v>
      </c>
    </row>
    <row r="78" spans="1:5" ht="21" customHeight="1" thickBot="1">
      <c r="A78" s="63"/>
      <c r="B78" s="201" t="str">
        <f>'MCS performance estimate'!A55</f>
        <v>Room 37</v>
      </c>
      <c r="C78" s="573" t="e">
        <f>'MCS performance estimate'!B55</f>
        <v>#DIV/0!</v>
      </c>
      <c r="D78" s="582" t="str">
        <f>'MCS performance estimate'!C55</f>
        <v>Radiators</v>
      </c>
      <c r="E78" s="561" t="str">
        <f>'MCS performance estimate'!E55</f>
        <v>Not Applicable</v>
      </c>
    </row>
    <row r="79" spans="1:5" ht="21" customHeight="1" thickBot="1">
      <c r="A79" s="63"/>
      <c r="B79" s="576" t="str">
        <f>'MCS performance estimate'!A56</f>
        <v>Room 38</v>
      </c>
      <c r="C79" s="577" t="e">
        <f>'MCS performance estimate'!B56</f>
        <v>#DIV/0!</v>
      </c>
      <c r="D79" s="582" t="str">
        <f>'MCS performance estimate'!C56</f>
        <v>Radiators</v>
      </c>
      <c r="E79" s="561" t="str">
        <f>'MCS performance estimate'!E56</f>
        <v>Not Applicable</v>
      </c>
    </row>
    <row r="80" spans="1:5" ht="32.25" customHeight="1">
      <c r="A80" s="63"/>
      <c r="B80" s="567"/>
      <c r="C80" s="765" t="s">
        <v>316</v>
      </c>
      <c r="D80" s="766"/>
      <c r="E80" s="574">
        <f>'Data Entry Sheet'!I28</f>
        <v>50</v>
      </c>
    </row>
    <row r="81" spans="1:17" ht="18.75" customHeight="1">
      <c r="A81" s="63"/>
      <c r="B81" s="568"/>
      <c r="C81" s="767" t="s">
        <v>317</v>
      </c>
      <c r="D81" s="768"/>
      <c r="E81" s="240" t="str">
        <f>'Data Entry Sheet'!I30</f>
        <v>***</v>
      </c>
    </row>
    <row r="82" spans="1:17" ht="15" customHeight="1" thickBot="1">
      <c r="A82" s="63"/>
      <c r="B82" s="570"/>
      <c r="C82" s="769" t="s">
        <v>318</v>
      </c>
      <c r="D82" s="770"/>
      <c r="E82" s="238" t="s">
        <v>124</v>
      </c>
      <c r="I82" t="s">
        <v>376</v>
      </c>
    </row>
    <row r="83" spans="1:17" ht="15.75" customHeight="1" thickBot="1">
      <c r="A83" s="63"/>
      <c r="B83" s="786" t="s">
        <v>319</v>
      </c>
      <c r="C83" s="787"/>
      <c r="D83" s="788"/>
      <c r="E83" s="237"/>
    </row>
    <row r="84" spans="1:17" ht="15.75" customHeight="1">
      <c r="A84" s="63"/>
      <c r="B84" s="571">
        <v>6.1</v>
      </c>
      <c r="C84" s="789" t="s">
        <v>320</v>
      </c>
      <c r="D84" s="790"/>
      <c r="E84" s="240" t="str">
        <f>IF(equipment!E10="Heating and Hot Water","Yes","No")</f>
        <v>Yes</v>
      </c>
    </row>
    <row r="85" spans="1:17" ht="19.5" customHeight="1">
      <c r="A85" s="63"/>
      <c r="B85" s="230"/>
      <c r="C85" s="789" t="s">
        <v>321</v>
      </c>
      <c r="D85" s="790"/>
      <c r="E85" s="238" t="s">
        <v>1042</v>
      </c>
    </row>
    <row r="86" spans="1:17" ht="17.25" customHeight="1">
      <c r="A86" s="63"/>
      <c r="B86" s="230"/>
      <c r="C86" s="789" t="s">
        <v>322</v>
      </c>
      <c r="D86" s="790"/>
      <c r="E86" s="242">
        <f>'MCS calc and run costs '!D53</f>
        <v>0.96560846560846558</v>
      </c>
    </row>
    <row r="87" spans="1:17" ht="17.25" customHeight="1">
      <c r="A87" s="63"/>
      <c r="B87" s="230"/>
      <c r="C87" s="789" t="s">
        <v>323</v>
      </c>
      <c r="D87" s="790"/>
      <c r="E87" s="240">
        <f>VLOOKUP('Data Entry Sheet'!D42,equipment!D107:E112,2,FALSE)</f>
        <v>170</v>
      </c>
      <c r="I87" t="s">
        <v>42</v>
      </c>
    </row>
    <row r="88" spans="1:17" ht="15" customHeight="1" thickBot="1">
      <c r="A88" s="63"/>
      <c r="B88" s="575"/>
      <c r="C88" s="789" t="s">
        <v>324</v>
      </c>
      <c r="D88" s="790"/>
      <c r="E88" s="240" t="s">
        <v>124</v>
      </c>
      <c r="I88" t="s">
        <v>1045</v>
      </c>
    </row>
    <row r="89" spans="1:17" ht="17.25" customHeight="1" thickBot="1">
      <c r="A89" s="63"/>
      <c r="B89" s="786" t="s">
        <v>325</v>
      </c>
      <c r="C89" s="787"/>
      <c r="D89" s="788"/>
      <c r="E89" s="235"/>
    </row>
    <row r="90" spans="1:17" ht="17.25" customHeight="1">
      <c r="A90" s="63"/>
      <c r="B90" s="567">
        <v>7.1</v>
      </c>
      <c r="C90" s="765" t="s">
        <v>326</v>
      </c>
      <c r="D90" s="766"/>
      <c r="E90" s="238" t="str">
        <f>equipment!E8</f>
        <v>Samsung 9kW mono</v>
      </c>
    </row>
    <row r="91" spans="1:17" ht="17.25" customHeight="1">
      <c r="A91" s="63"/>
      <c r="B91" s="568"/>
      <c r="C91" s="767" t="s">
        <v>327</v>
      </c>
      <c r="D91" s="768"/>
      <c r="E91" s="242" t="str">
        <f>'MCS calc and run costs '!D63</f>
        <v>MCS HP0227/02</v>
      </c>
      <c r="I91" t="s">
        <v>517</v>
      </c>
    </row>
    <row r="92" spans="1:17" ht="34.5" customHeight="1">
      <c r="A92" s="63"/>
      <c r="B92" s="568"/>
      <c r="C92" s="767" t="s">
        <v>328</v>
      </c>
      <c r="D92" s="768"/>
      <c r="E92" s="239">
        <f>'MCS calc and run costs '!D60</f>
        <v>9</v>
      </c>
      <c r="P92" s="31"/>
      <c r="Q92" s="122"/>
    </row>
    <row r="93" spans="1:17" ht="17.25" customHeight="1">
      <c r="A93" s="63"/>
      <c r="B93" s="568"/>
      <c r="C93" s="767" t="s">
        <v>329</v>
      </c>
      <c r="D93" s="768"/>
      <c r="E93" s="243" t="str">
        <f>IF(equipment!E10="Heating Only","Full",+IF(equipment!E10="Heating and Hot Water","Full","Partial"))</f>
        <v>Full</v>
      </c>
      <c r="I93" t="s">
        <v>516</v>
      </c>
      <c r="P93" s="31"/>
      <c r="Q93" s="121"/>
    </row>
    <row r="94" spans="1:17" ht="34.5" customHeight="1">
      <c r="A94" s="63"/>
      <c r="B94" s="568"/>
      <c r="C94" s="767" t="s">
        <v>330</v>
      </c>
      <c r="D94" s="768"/>
      <c r="E94" s="243">
        <f>'MCS calc and run costs '!D42/'MCS calc and run costs '!D43</f>
        <v>0.99999999999999989</v>
      </c>
      <c r="P94" s="31"/>
      <c r="Q94" s="121"/>
    </row>
    <row r="95" spans="1:17" ht="17.25" customHeight="1">
      <c r="A95" s="63"/>
      <c r="B95" s="568"/>
      <c r="C95" s="767" t="s">
        <v>331</v>
      </c>
      <c r="D95" s="768"/>
      <c r="E95" s="243" t="str">
        <f>IF(equipment!E10="Heating and Hot water","Full",+IF(equipment!E10="Heating Only","None","Partial"))</f>
        <v>Full</v>
      </c>
      <c r="I95" t="s">
        <v>516</v>
      </c>
      <c r="P95" s="57" t="s">
        <v>85</v>
      </c>
      <c r="Q95" s="121" t="s">
        <v>528</v>
      </c>
    </row>
    <row r="96" spans="1:17" ht="30" customHeight="1" thickBot="1">
      <c r="A96" s="63"/>
      <c r="B96" s="570"/>
      <c r="C96" s="769" t="s">
        <v>332</v>
      </c>
      <c r="D96" s="770"/>
      <c r="E96" s="243">
        <f>'MCS calc and run costs '!D53</f>
        <v>0.96560846560846558</v>
      </c>
      <c r="P96" s="57" t="s">
        <v>202</v>
      </c>
      <c r="Q96" s="122" t="s">
        <v>529</v>
      </c>
    </row>
    <row r="97" spans="1:17" ht="17.25" customHeight="1" thickBot="1">
      <c r="A97" s="63"/>
      <c r="B97" s="791" t="s">
        <v>333</v>
      </c>
      <c r="C97" s="792"/>
      <c r="D97" s="793"/>
      <c r="E97" s="235"/>
      <c r="P97" s="31"/>
      <c r="Q97" s="122" t="s">
        <v>530</v>
      </c>
    </row>
    <row r="98" spans="1:17" ht="17.25" customHeight="1">
      <c r="A98" s="63"/>
      <c r="B98" s="567">
        <v>8.1</v>
      </c>
      <c r="C98" s="765" t="s">
        <v>334</v>
      </c>
      <c r="D98" s="766"/>
      <c r="E98" s="588" t="s">
        <v>374</v>
      </c>
      <c r="P98" s="57" t="s">
        <v>82</v>
      </c>
      <c r="Q98" s="122" t="s">
        <v>531</v>
      </c>
    </row>
    <row r="99" spans="1:17" ht="18" customHeight="1">
      <c r="A99" s="63"/>
      <c r="B99" s="568"/>
      <c r="C99" s="767" t="s">
        <v>335</v>
      </c>
      <c r="D99" s="768"/>
      <c r="E99" s="588" t="s">
        <v>374</v>
      </c>
      <c r="P99" s="57" t="s">
        <v>83</v>
      </c>
      <c r="Q99" s="121" t="s">
        <v>532</v>
      </c>
    </row>
    <row r="100" spans="1:17" ht="18" customHeight="1">
      <c r="A100" s="63"/>
      <c r="B100" s="568"/>
      <c r="C100" s="767" t="s">
        <v>336</v>
      </c>
      <c r="D100" s="768"/>
      <c r="E100" s="588" t="s">
        <v>374</v>
      </c>
      <c r="P100" s="57" t="s">
        <v>84</v>
      </c>
      <c r="Q100" s="122" t="s">
        <v>533</v>
      </c>
    </row>
    <row r="101" spans="1:17" ht="30" customHeight="1">
      <c r="A101" s="63"/>
      <c r="B101" s="568"/>
      <c r="C101" s="767" t="s">
        <v>337</v>
      </c>
      <c r="D101" s="768"/>
      <c r="E101" s="588" t="s">
        <v>374</v>
      </c>
      <c r="P101" s="57" t="s">
        <v>88</v>
      </c>
      <c r="Q101" s="121" t="s">
        <v>534</v>
      </c>
    </row>
    <row r="102" spans="1:17" ht="30" customHeight="1">
      <c r="A102" s="63"/>
      <c r="B102" s="568"/>
      <c r="C102" s="767" t="s">
        <v>338</v>
      </c>
      <c r="D102" s="768"/>
      <c r="E102" s="588" t="s">
        <v>374</v>
      </c>
      <c r="P102" s="57" t="s">
        <v>87</v>
      </c>
      <c r="Q102" s="122" t="s">
        <v>535</v>
      </c>
    </row>
    <row r="103" spans="1:17" ht="30" customHeight="1">
      <c r="A103" s="63"/>
      <c r="B103" s="568"/>
      <c r="C103" s="767" t="s">
        <v>339</v>
      </c>
      <c r="D103" s="768"/>
      <c r="E103" s="588" t="s">
        <v>374</v>
      </c>
      <c r="P103" s="57" t="s">
        <v>86</v>
      </c>
      <c r="Q103" s="121" t="s">
        <v>536</v>
      </c>
    </row>
    <row r="104" spans="1:17" ht="30" customHeight="1">
      <c r="A104" s="63"/>
      <c r="B104" s="568"/>
      <c r="C104" s="767" t="s">
        <v>340</v>
      </c>
      <c r="D104" s="768"/>
      <c r="E104" s="588" t="s">
        <v>374</v>
      </c>
    </row>
    <row r="105" spans="1:17" ht="17.25" customHeight="1" thickBot="1">
      <c r="A105" s="63"/>
      <c r="B105" s="570"/>
      <c r="C105" s="769" t="s">
        <v>341</v>
      </c>
      <c r="D105" s="770"/>
      <c r="E105" s="588" t="s">
        <v>374</v>
      </c>
    </row>
    <row r="106" spans="1:17" ht="15.75" customHeight="1" thickBot="1">
      <c r="A106" s="63"/>
      <c r="B106" s="791" t="s">
        <v>342</v>
      </c>
      <c r="C106" s="792"/>
      <c r="D106" s="793"/>
      <c r="E106" s="235"/>
    </row>
    <row r="107" spans="1:17" ht="18" customHeight="1">
      <c r="A107" s="63"/>
      <c r="B107" s="567">
        <v>9.1</v>
      </c>
      <c r="C107" s="765" t="s">
        <v>343</v>
      </c>
      <c r="D107" s="766"/>
      <c r="E107" s="239">
        <f>'MCS calc and run costs '!D42</f>
        <v>15045.863533286123</v>
      </c>
    </row>
    <row r="108" spans="1:17" ht="18" customHeight="1">
      <c r="A108" s="63"/>
      <c r="B108" s="568"/>
      <c r="C108" s="767" t="s">
        <v>344</v>
      </c>
      <c r="D108" s="768"/>
      <c r="E108" s="239">
        <f>'MCS calc and run costs '!D50</f>
        <v>2984.5199999999995</v>
      </c>
    </row>
    <row r="109" spans="1:17" ht="32.25" customHeight="1">
      <c r="A109" s="63"/>
      <c r="B109" s="568"/>
      <c r="C109" s="767" t="s">
        <v>345</v>
      </c>
      <c r="D109" s="768"/>
      <c r="E109" s="243">
        <f>'MCS calc and run costs '!D58</f>
        <v>0.99430726351257415</v>
      </c>
    </row>
    <row r="110" spans="1:17" ht="30.75" customHeight="1">
      <c r="A110" s="63"/>
      <c r="B110" s="568"/>
      <c r="C110" s="767" t="s">
        <v>346</v>
      </c>
      <c r="D110" s="768"/>
      <c r="E110" s="239">
        <f>'MCS calc and run costs '!D52+'MCS calc and run costs '!D45</f>
        <v>5684.6377175225944</v>
      </c>
    </row>
    <row r="111" spans="1:17" ht="20.25" customHeight="1">
      <c r="A111" s="63"/>
      <c r="B111" s="568"/>
      <c r="C111" s="767" t="s">
        <v>347</v>
      </c>
      <c r="D111" s="768"/>
      <c r="E111" s="239">
        <f>'MCS calc and run costs '!D47+'MCS calc and run costs '!D55</f>
        <v>102.6422222222222</v>
      </c>
    </row>
    <row r="112" spans="1:17" ht="17.25" customHeight="1">
      <c r="A112" s="63"/>
      <c r="B112" s="568"/>
      <c r="C112" s="767" t="s">
        <v>348</v>
      </c>
      <c r="D112" s="768"/>
      <c r="E112" s="238">
        <f>'MCS calc and run costs '!B8-'MCS calc and run costs '!D8</f>
        <v>102.64222222222088</v>
      </c>
    </row>
    <row r="113" spans="1:5" ht="17.25" customHeight="1">
      <c r="A113" s="63"/>
      <c r="B113" s="568"/>
      <c r="C113" s="767" t="s">
        <v>900</v>
      </c>
      <c r="D113" s="768"/>
      <c r="E113" s="238">
        <f>'MCS calc and run costs '!J70</f>
        <v>3.32</v>
      </c>
    </row>
    <row r="114" spans="1:5" ht="47.25" customHeight="1" thickBot="1">
      <c r="A114" s="63"/>
      <c r="B114" s="578">
        <v>9.1999999999999993</v>
      </c>
      <c r="C114" s="769" t="s">
        <v>349</v>
      </c>
      <c r="D114" s="770"/>
      <c r="E114" s="244"/>
    </row>
    <row r="115" spans="1:5" ht="15.75" thickBot="1">
      <c r="A115" s="63"/>
      <c r="B115" s="791" t="s">
        <v>350</v>
      </c>
      <c r="C115" s="792"/>
      <c r="D115" s="793"/>
      <c r="E115" s="235"/>
    </row>
    <row r="116" spans="1:5" ht="18" customHeight="1">
      <c r="A116" s="63"/>
      <c r="B116" s="567">
        <v>10.1</v>
      </c>
      <c r="C116" s="765" t="s">
        <v>351</v>
      </c>
      <c r="D116" s="766"/>
      <c r="E116" s="238" t="s">
        <v>124</v>
      </c>
    </row>
    <row r="117" spans="1:5" ht="35.25" customHeight="1">
      <c r="A117" s="63"/>
      <c r="B117" s="568"/>
      <c r="C117" s="767" t="s">
        <v>352</v>
      </c>
      <c r="D117" s="768"/>
      <c r="E117" s="238" t="s">
        <v>124</v>
      </c>
    </row>
    <row r="118" spans="1:5" ht="35.25" customHeight="1">
      <c r="A118" s="63"/>
      <c r="B118" s="568"/>
      <c r="C118" s="767" t="s">
        <v>353</v>
      </c>
      <c r="D118" s="768"/>
      <c r="E118" s="238" t="s">
        <v>124</v>
      </c>
    </row>
    <row r="119" spans="1:5" ht="20.25" customHeight="1">
      <c r="A119" s="63"/>
      <c r="B119" s="568">
        <v>10.199999999999999</v>
      </c>
      <c r="C119" s="767" t="s">
        <v>354</v>
      </c>
      <c r="D119" s="768"/>
      <c r="E119" s="358"/>
    </row>
    <row r="120" spans="1:5" ht="20.25" customHeight="1">
      <c r="A120" s="63"/>
      <c r="B120" s="568"/>
      <c r="C120" s="767" t="s">
        <v>355</v>
      </c>
      <c r="D120" s="768"/>
      <c r="E120" s="245" t="s">
        <v>124</v>
      </c>
    </row>
    <row r="121" spans="1:5" ht="32.25" customHeight="1">
      <c r="A121" s="63"/>
      <c r="B121" s="568"/>
      <c r="C121" s="767" t="s">
        <v>356</v>
      </c>
      <c r="D121" s="768"/>
      <c r="E121" s="232" t="s">
        <v>1046</v>
      </c>
    </row>
    <row r="122" spans="1:5" ht="18" customHeight="1">
      <c r="A122" s="63"/>
      <c r="B122" s="568"/>
      <c r="C122" s="767" t="s">
        <v>357</v>
      </c>
      <c r="D122" s="768"/>
      <c r="E122" s="246" t="s">
        <v>124</v>
      </c>
    </row>
    <row r="123" spans="1:5" ht="18" customHeight="1">
      <c r="A123" s="63"/>
      <c r="B123" s="568">
        <v>10.3</v>
      </c>
      <c r="C123" s="767" t="s">
        <v>358</v>
      </c>
      <c r="D123" s="768"/>
      <c r="E123" s="241" t="s">
        <v>374</v>
      </c>
    </row>
    <row r="124" spans="1:5" ht="32.25" customHeight="1">
      <c r="A124" s="63"/>
      <c r="B124" s="568"/>
      <c r="C124" s="767" t="s">
        <v>359</v>
      </c>
      <c r="D124" s="768"/>
      <c r="E124" s="241" t="s">
        <v>185</v>
      </c>
    </row>
    <row r="125" spans="1:5" ht="33.75" customHeight="1">
      <c r="A125" s="63"/>
      <c r="B125" s="568"/>
      <c r="C125" s="767" t="s">
        <v>360</v>
      </c>
      <c r="D125" s="768"/>
      <c r="E125" s="241" t="s">
        <v>901</v>
      </c>
    </row>
    <row r="126" spans="1:5" ht="33" customHeight="1">
      <c r="A126" s="63"/>
      <c r="B126" s="568"/>
      <c r="C126" s="767" t="s">
        <v>361</v>
      </c>
      <c r="D126" s="768"/>
      <c r="E126" s="241" t="s">
        <v>185</v>
      </c>
    </row>
    <row r="127" spans="1:5" ht="20.25" customHeight="1" thickBot="1">
      <c r="A127" s="63"/>
      <c r="B127" s="570"/>
      <c r="C127" s="769" t="s">
        <v>362</v>
      </c>
      <c r="D127" s="770"/>
      <c r="E127" s="241" t="s">
        <v>185</v>
      </c>
    </row>
    <row r="128" spans="1:5" ht="15.75" thickBot="1">
      <c r="A128" s="63"/>
      <c r="B128" s="786" t="s">
        <v>363</v>
      </c>
      <c r="C128" s="787"/>
      <c r="D128" s="788"/>
      <c r="E128" s="235"/>
    </row>
    <row r="129" spans="1:5" ht="34.5" customHeight="1">
      <c r="A129" s="63"/>
      <c r="B129" s="571">
        <v>11.1</v>
      </c>
      <c r="C129" s="794" t="s">
        <v>1043</v>
      </c>
      <c r="D129" s="795"/>
      <c r="E129" s="238" t="s">
        <v>902</v>
      </c>
    </row>
    <row r="130" spans="1:5" ht="18" customHeight="1">
      <c r="A130" s="63"/>
      <c r="B130" s="230"/>
      <c r="C130" s="796" t="s">
        <v>364</v>
      </c>
      <c r="D130" s="797"/>
      <c r="E130" s="238" t="s">
        <v>1044</v>
      </c>
    </row>
    <row r="131" spans="1:5" ht="30" customHeight="1">
      <c r="A131" s="63"/>
      <c r="B131" s="230">
        <v>11.2</v>
      </c>
      <c r="C131" s="796" t="s">
        <v>365</v>
      </c>
      <c r="D131" s="797"/>
      <c r="E131" s="566" t="s">
        <v>124</v>
      </c>
    </row>
    <row r="132" spans="1:5" ht="18.75" customHeight="1">
      <c r="A132" s="63"/>
      <c r="B132" s="230"/>
      <c r="C132" s="796" t="s">
        <v>366</v>
      </c>
      <c r="D132" s="797"/>
      <c r="E132" s="238" t="s">
        <v>377</v>
      </c>
    </row>
    <row r="133" spans="1:5" ht="19.5" customHeight="1">
      <c r="A133" s="63"/>
      <c r="B133" s="230">
        <v>11.3</v>
      </c>
      <c r="C133" s="796" t="s">
        <v>367</v>
      </c>
      <c r="D133" s="797"/>
      <c r="E133" s="232"/>
    </row>
    <row r="134" spans="1:5" ht="21" customHeight="1">
      <c r="A134" s="63"/>
      <c r="B134" s="236"/>
      <c r="C134" s="796" t="s">
        <v>368</v>
      </c>
      <c r="D134" s="797"/>
      <c r="E134" s="238" t="s">
        <v>1124</v>
      </c>
    </row>
    <row r="135" spans="1:5" ht="33" customHeight="1" thickBot="1">
      <c r="A135" s="63"/>
      <c r="B135" s="575"/>
      <c r="C135" s="804" t="s">
        <v>369</v>
      </c>
      <c r="D135" s="805"/>
      <c r="E135" s="232" t="s">
        <v>124</v>
      </c>
    </row>
    <row r="136" spans="1:5" ht="15.75" thickBot="1">
      <c r="A136" s="63"/>
      <c r="B136" s="786" t="s">
        <v>370</v>
      </c>
      <c r="C136" s="787"/>
      <c r="D136" s="788"/>
      <c r="E136" s="586"/>
    </row>
    <row r="137" spans="1:5" ht="75" customHeight="1" thickBot="1">
      <c r="A137" s="63"/>
      <c r="B137" s="248">
        <v>12.1</v>
      </c>
      <c r="C137" s="798" t="s">
        <v>1058</v>
      </c>
      <c r="D137" s="798"/>
      <c r="E137" s="799"/>
    </row>
    <row r="138" spans="1:5">
      <c r="A138" s="63"/>
      <c r="B138" s="249"/>
      <c r="C138" s="250" t="s">
        <v>371</v>
      </c>
      <c r="D138" s="800"/>
      <c r="E138" s="801"/>
    </row>
    <row r="139" spans="1:5" ht="15" customHeight="1">
      <c r="A139" s="63"/>
      <c r="B139" s="236"/>
      <c r="C139" s="247" t="s">
        <v>372</v>
      </c>
      <c r="D139" s="589"/>
      <c r="E139" s="590"/>
    </row>
    <row r="140" spans="1:5" ht="15" customHeight="1" thickBot="1">
      <c r="A140" s="63"/>
      <c r="B140" s="251"/>
      <c r="C140" s="252" t="s">
        <v>373</v>
      </c>
      <c r="D140" s="802"/>
      <c r="E140" s="803"/>
    </row>
    <row r="141" spans="1:5">
      <c r="A141" s="63"/>
      <c r="B141" s="64"/>
      <c r="C141" s="63"/>
      <c r="D141" s="65"/>
    </row>
  </sheetData>
  <sheetProtection algorithmName="SHA-512" hashValue="dYV1waejkf4y3G0292MhZtQkn4MjZt0vvZmy/3CrcY6E0hbmRQwppYjqHJwiqlE50rXnmu5aI5y35a9mjWEvng==" saltValue="M8I+2WYERi+9yYi1V02xHQ==" spinCount="100000" sheet="1" objects="1" scenarios="1"/>
  <mergeCells count="99">
    <mergeCell ref="D138:E138"/>
    <mergeCell ref="D140:E140"/>
    <mergeCell ref="C133:D133"/>
    <mergeCell ref="C134:D134"/>
    <mergeCell ref="C135:D135"/>
    <mergeCell ref="C130:D130"/>
    <mergeCell ref="C131:D131"/>
    <mergeCell ref="C132:D132"/>
    <mergeCell ref="B136:D136"/>
    <mergeCell ref="C137:E137"/>
    <mergeCell ref="C125:D125"/>
    <mergeCell ref="C126:D126"/>
    <mergeCell ref="C127:D127"/>
    <mergeCell ref="B128:D128"/>
    <mergeCell ref="C129:D129"/>
    <mergeCell ref="C120:D120"/>
    <mergeCell ref="C121:D121"/>
    <mergeCell ref="C122:D122"/>
    <mergeCell ref="C123:D123"/>
    <mergeCell ref="C124:D124"/>
    <mergeCell ref="B115:D115"/>
    <mergeCell ref="C116:D116"/>
    <mergeCell ref="C117:D117"/>
    <mergeCell ref="C118:D118"/>
    <mergeCell ref="C119:D119"/>
    <mergeCell ref="C110:D110"/>
    <mergeCell ref="C111:D111"/>
    <mergeCell ref="C112:D112"/>
    <mergeCell ref="C113:D113"/>
    <mergeCell ref="C114:D114"/>
    <mergeCell ref="C105:D105"/>
    <mergeCell ref="B106:D106"/>
    <mergeCell ref="C107:D107"/>
    <mergeCell ref="C108:D108"/>
    <mergeCell ref="C109:D109"/>
    <mergeCell ref="C100:D100"/>
    <mergeCell ref="C101:D101"/>
    <mergeCell ref="C102:D102"/>
    <mergeCell ref="C103:D103"/>
    <mergeCell ref="C104:D104"/>
    <mergeCell ref="C95:D95"/>
    <mergeCell ref="C96:D96"/>
    <mergeCell ref="B97:D97"/>
    <mergeCell ref="C98:D98"/>
    <mergeCell ref="C99:D99"/>
    <mergeCell ref="B83:D83"/>
    <mergeCell ref="B89:D89"/>
    <mergeCell ref="C90:D90"/>
    <mergeCell ref="C91:D91"/>
    <mergeCell ref="C94:D94"/>
    <mergeCell ref="C93:D93"/>
    <mergeCell ref="C92:D92"/>
    <mergeCell ref="C84:D84"/>
    <mergeCell ref="C85:D85"/>
    <mergeCell ref="C86:D86"/>
    <mergeCell ref="C87:D87"/>
    <mergeCell ref="C88:D88"/>
    <mergeCell ref="B2:D2"/>
    <mergeCell ref="B3:D3"/>
    <mergeCell ref="B5:D5"/>
    <mergeCell ref="C6:D6"/>
    <mergeCell ref="C7:D7"/>
    <mergeCell ref="C8:D8"/>
    <mergeCell ref="C9:D9"/>
    <mergeCell ref="C10:D10"/>
    <mergeCell ref="C11:D11"/>
    <mergeCell ref="C12:D12"/>
    <mergeCell ref="E38:E40"/>
    <mergeCell ref="B13:D13"/>
    <mergeCell ref="C38:D38"/>
    <mergeCell ref="C39:D39"/>
    <mergeCell ref="C30:D30"/>
    <mergeCell ref="B20:D20"/>
    <mergeCell ref="C21:D21"/>
    <mergeCell ref="C22:D22"/>
    <mergeCell ref="C24:D24"/>
    <mergeCell ref="B36:D36"/>
    <mergeCell ref="C35:D35"/>
    <mergeCell ref="C40:D40"/>
    <mergeCell ref="B23:D23"/>
    <mergeCell ref="C37:D37"/>
    <mergeCell ref="C31:D31"/>
    <mergeCell ref="C32:D32"/>
    <mergeCell ref="C14:D14"/>
    <mergeCell ref="C80:D80"/>
    <mergeCell ref="C81:D81"/>
    <mergeCell ref="C82:D82"/>
    <mergeCell ref="C33:D33"/>
    <mergeCell ref="C34:D34"/>
    <mergeCell ref="C25:D25"/>
    <mergeCell ref="C26:D26"/>
    <mergeCell ref="C27:D27"/>
    <mergeCell ref="C28:D28"/>
    <mergeCell ref="C29:D29"/>
    <mergeCell ref="C15:D15"/>
    <mergeCell ref="C16:D16"/>
    <mergeCell ref="C17:D17"/>
    <mergeCell ref="C18:D18"/>
    <mergeCell ref="C19:D19"/>
  </mergeCells>
  <dataValidations xWindow="1191" yWindow="386" count="32">
    <dataValidation allowBlank="1" showInputMessage="1" showErrorMessage="1" prompt="_x000a_" sqref="E128">
      <formula1>0</formula1>
      <formula2>0</formula2>
    </dataValidation>
    <dataValidation type="list" allowBlank="1" showInputMessage="1" showErrorMessage="1" prompt="Select Intermittent or Continuous" sqref="E18">
      <formula1>"Intermittent,Continuous"</formula1>
      <formula2>0</formula2>
    </dataValidation>
    <dataValidation allowBlank="1" showInputMessage="1" showErrorMessage="1" prompt="If other, state" sqref="E17">
      <formula1>0</formula1>
      <formula2>0</formula2>
    </dataValidation>
    <dataValidation allowBlank="1" showInputMessage="1" showErrorMessage="1" prompt="Input address" sqref="E7 E9 E11">
      <formula1>0</formula1>
      <formula2>0</formula2>
    </dataValidation>
    <dataValidation allowBlank="1" showInputMessage="1" showErrorMessage="1" prompt="Input name of the owner" sqref="E6 E8 E10 E12">
      <formula1>0</formula1>
      <formula2>0</formula2>
    </dataValidation>
    <dataValidation allowBlank="1" showInputMessage="1" showErrorMessage="1" prompt="Input assumed ground temperature in degrees celsius" sqref="E27">
      <formula1>0</formula1>
      <formula2>0</formula2>
    </dataValidation>
    <dataValidation allowBlank="1" showInputMessage="1" showErrorMessage="1" prompt="Input total building heat loss in kW" sqref="E29">
      <formula1>0</formula1>
      <formula2>0</formula2>
    </dataValidation>
    <dataValidation allowBlank="1" showInputMessage="1" showErrorMessage="1" prompt="Input design internal temperature in degrees celsius" sqref="E28">
      <formula1>0</formula1>
      <formula2>0</formula2>
    </dataValidation>
    <dataValidation allowBlank="1" showInputMessage="1" showErrorMessage="1" prompt="Input design external temperature in degrees celsius" sqref="E26">
      <formula1>0</formula1>
      <formula2>0</formula2>
    </dataValidation>
    <dataValidation allowBlank="1" showInputMessage="1" showErrorMessage="1" prompt="Input name and version of heat loss calculator_x000a_" sqref="E25">
      <formula1>0</formula1>
      <formula2>0</formula2>
    </dataValidation>
    <dataValidation allowBlank="1" showInputMessage="1" showErrorMessage="1" prompt="Input uplift factor" sqref="E31:E32">
      <formula1>0</formula1>
      <formula2>0</formula2>
    </dataValidation>
    <dataValidation allowBlank="1" showInputMessage="1" showErrorMessage="1" prompt="Input Temperature Star Rating" sqref="E81">
      <formula1>0</formula1>
      <formula2>0</formula2>
    </dataValidation>
    <dataValidation allowBlank="1" showInputMessage="1" showErrorMessage="1" prompt="Input the lowest of the oversize factors for radiators or convectors; and if appropriate the pipe spacing if underfloor heating has been specified." sqref="E37">
      <formula1>0</formula1>
      <formula2>0</formula2>
    </dataValidation>
    <dataValidation allowBlank="1" showInputMessage="1" showErrorMessage="1" prompt="State yes or if no, please explain why._x000a_" sqref="E121:E122">
      <formula1>0</formula1>
      <formula2>0</formula2>
    </dataValidation>
    <dataValidation allowBlank="1" showInputMessage="1" showErrorMessage="1" prompt="Input renewable heat (kWh/yr)" sqref="E114">
      <formula1>0</formula1>
      <formula2>0</formula2>
    </dataValidation>
    <dataValidation allowBlank="1" showInputMessage="1" showErrorMessage="1" prompt="Input SPF or SPER" sqref="E113">
      <formula1>0</formula1>
      <formula2>0</formula2>
    </dataValidation>
    <dataValidation allowBlank="1" showInputMessage="1" showErrorMessage="1" prompt="Input consumption (kWh/yr)" sqref="E110:E112">
      <formula1>0</formula1>
      <formula2>0</formula2>
    </dataValidation>
    <dataValidation allowBlank="1" showInputMessage="1" showErrorMessage="1" prompt="Input heating demand (kWh/yr)" sqref="E107:E108">
      <formula1>0</formula1>
      <formula2>0</formula2>
    </dataValidation>
    <dataValidation allowBlank="1" showInputMessage="1" showErrorMessage="1" prompt="Input percentage" sqref="E96"/>
    <dataValidation allowBlank="1" showInputMessage="1" showErrorMessage="1" prompt="Input percentage (%)" sqref="E94 E109">
      <formula1>0</formula1>
      <formula2>0</formula2>
    </dataValidation>
    <dataValidation allowBlank="1" showInputMessage="1" showErrorMessage="1" prompt="Select Full or Partial" sqref="E95 E93"/>
    <dataValidation allowBlank="1" showInputMessage="1" showErrorMessage="1" prompt="Input heat output in kW" sqref="E92">
      <formula1>0</formula1>
      <formula2>0</formula2>
    </dataValidation>
    <dataValidation allowBlank="1" showInputMessage="1" showErrorMessage="1" prompt="Input product certification number" sqref="E91">
      <formula1>0</formula1>
      <formula2>0</formula2>
    </dataValidation>
    <dataValidation allowBlank="1" showInputMessage="1" showErrorMessage="1" prompt="Input make and model" sqref="E90">
      <formula1>0</formula1>
      <formula2>0</formula2>
    </dataValidation>
    <dataValidation allowBlank="1" showInputMessage="1" showErrorMessage="1" prompt="Input volume in litres" sqref="E87">
      <formula1>0</formula1>
      <formula2>0</formula2>
    </dataValidation>
    <dataValidation allowBlank="1" showInputMessage="1" showErrorMessage="1" prompt="Input fraction" sqref="E86">
      <formula1>0</formula1>
      <formula2>0</formula2>
    </dataValidation>
    <dataValidation allowBlank="1" showInputMessage="1" showErrorMessage="1" prompt="Input temperature in degrees celsius" sqref="E80 E85">
      <formula1>0</formula1>
      <formula2>0</formula2>
    </dataValidation>
    <dataValidation type="list" allowBlank="1" showInputMessage="1" showErrorMessage="1" prompt="Select Yes or No" sqref="E120 E21 E24 E131 E135 E82 E88 E33:E35 E116:E118">
      <formula1>"Yes,No"</formula1>
      <formula2>0</formula2>
    </dataValidation>
    <dataValidation allowBlank="1" showInputMessage="1" showErrorMessage="1" prompt="State the control settings" sqref="E130">
      <formula1>0</formula1>
      <formula2>0</formula2>
    </dataValidation>
    <dataValidation allowBlank="1" showInputMessage="1" showErrorMessage="1" prompt="Input issue number" sqref="E132:E134">
      <formula1>0</formula1>
      <formula2>0</formula2>
    </dataValidation>
    <dataValidation allowBlank="1" showInputMessage="1" showErrorMessage="1" prompt="Select Yes or No" sqref="E22 E98:E105 E84 E19 E15:E16"/>
    <dataValidation allowBlank="1" showInputMessage="1" showErrorMessage="1" prompt="Input room heat losses in watts" sqref="C41:C79">
      <formula1>0</formula1>
      <formula2>0</formula2>
    </dataValidation>
  </dataValidations>
  <hyperlinks>
    <hyperlink ref="Q97" r:id="rId1" display="http://www.microgenerationcertification.org/index.php?option=com_content&amp;view=article&amp;id=46&amp;Itemid=155&amp;ID=61981"/>
    <hyperlink ref="Q96" r:id="rId2" display="http://www.microgenerationcertification.org/index.php?option=com_content&amp;view=article&amp;id=46&amp;Itemid=155&amp;ID=61978"/>
    <hyperlink ref="Q95" r:id="rId3" display="http://www.microgenerationcertification.org/index.php?option=com_content&amp;view=article&amp;id=46&amp;Itemid=155&amp;ID=61975"/>
    <hyperlink ref="Q101" r:id="rId4" display="http://www.microgenerationcertification.org/index.php?option=com_content&amp;view=article&amp;id=46&amp;Itemid=155&amp;ID=61971"/>
    <hyperlink ref="Q100" r:id="rId5" display="http://www.microgenerationcertification.org/index.php?option=com_content&amp;view=article&amp;id=46&amp;Itemid=155&amp;ID=61972"/>
    <hyperlink ref="Q99" r:id="rId6" display="http://www.microgenerationcertification.org/index.php?option=com_content&amp;view=article&amp;id=46&amp;Itemid=155&amp;ID=61973"/>
    <hyperlink ref="Q98" r:id="rId7" display="http://www.microgenerationcertification.org/index.php?option=com_content&amp;view=article&amp;id=46&amp;Itemid=155&amp;ID=61974"/>
    <hyperlink ref="Q103" r:id="rId8" display="http://www.microgenerationcertification.org/index.php?option=com_content&amp;view=article&amp;id=46&amp;Itemid=155&amp;ID=61969"/>
    <hyperlink ref="Q102" r:id="rId9" display="http://www.microgenerationcertification.org/index.php?option=com_content&amp;view=article&amp;id=46&amp;Itemid=155&amp;ID=61970"/>
  </hyperlinks>
  <pageMargins left="0.7" right="0.7" top="0.75" bottom="0.75" header="0.3" footer="0.3"/>
  <pageSetup paperSize="9" scale="54" orientation="portrait"/>
  <colBreaks count="1" manualBreakCount="1">
    <brk id="4" max="1048575" man="1"/>
  </colBreaks>
  <drawing r:id="rId1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sheetPr enableFormatConditionsCalculation="0">
    <tabColor rgb="FFFFC000"/>
    <pageSetUpPr fitToPage="1"/>
  </sheetPr>
  <dimension ref="A1:AH250"/>
  <sheetViews>
    <sheetView zoomScaleSheetLayoutView="100" workbookViewId="0">
      <selection activeCell="C8" sqref="C8:H10"/>
    </sheetView>
  </sheetViews>
  <sheetFormatPr defaultColWidth="9.140625" defaultRowHeight="12.75"/>
  <cols>
    <col min="1" max="1" width="9.140625" style="67"/>
    <col min="2" max="2" width="12.7109375" style="67" customWidth="1"/>
    <col min="3" max="3" width="9.140625" style="67"/>
    <col min="4" max="4" width="12.42578125" style="67" customWidth="1"/>
    <col min="5" max="5" width="2.42578125" style="67" customWidth="1"/>
    <col min="6" max="6" width="12.42578125" style="67" customWidth="1"/>
    <col min="7" max="7" width="2.42578125" style="67" customWidth="1"/>
    <col min="8" max="8" width="11.42578125" style="67" customWidth="1"/>
    <col min="9" max="9" width="3.42578125" style="67" customWidth="1"/>
    <col min="10" max="10" width="10.28515625" style="67" customWidth="1"/>
    <col min="11" max="11" width="2.42578125" style="67" customWidth="1"/>
    <col min="12" max="12" width="15" style="67" customWidth="1"/>
    <col min="13" max="13" width="2.42578125" style="67" customWidth="1"/>
    <col min="14" max="14" width="9.140625" style="67"/>
    <col min="15" max="15" width="2.7109375" style="67" customWidth="1"/>
    <col min="16" max="16" width="11.7109375" style="67" customWidth="1"/>
    <col min="17" max="17" width="2.42578125" style="67" customWidth="1"/>
    <col min="18" max="18" width="9.140625" style="67"/>
    <col min="19" max="19" width="8.42578125" style="67" customWidth="1"/>
    <col min="20" max="20" width="2.42578125" style="67" customWidth="1"/>
    <col min="21" max="21" width="5.140625" style="67" customWidth="1"/>
    <col min="22" max="22" width="7.42578125" style="67" customWidth="1"/>
    <col min="23" max="16384" width="9.140625" style="67"/>
  </cols>
  <sheetData>
    <row r="1" spans="1:32" ht="27.75" customHeight="1">
      <c r="A1" s="87" t="s">
        <v>472</v>
      </c>
      <c r="B1" s="78"/>
      <c r="C1" s="78"/>
      <c r="D1" s="78"/>
      <c r="E1" s="78"/>
      <c r="F1" s="78"/>
      <c r="G1" s="78"/>
      <c r="H1" s="78"/>
      <c r="I1" s="78"/>
      <c r="J1" s="78"/>
      <c r="K1" s="78"/>
      <c r="L1" s="78"/>
      <c r="M1" s="78"/>
      <c r="N1" s="78"/>
      <c r="O1" s="78"/>
      <c r="P1" s="78"/>
      <c r="Q1" s="78"/>
      <c r="R1" s="78"/>
      <c r="S1" s="78"/>
      <c r="T1" s="78"/>
      <c r="U1" s="78"/>
      <c r="V1" s="78"/>
      <c r="Y1" s="88"/>
      <c r="Z1" s="88"/>
      <c r="AA1" s="88"/>
      <c r="AB1" s="88"/>
      <c r="AC1" s="88"/>
      <c r="AD1" s="88"/>
      <c r="AE1" s="88"/>
      <c r="AF1" s="88"/>
    </row>
    <row r="2" spans="1:32" ht="25.5">
      <c r="A2" s="842" t="s">
        <v>398</v>
      </c>
      <c r="B2" s="842"/>
      <c r="C2" s="842"/>
      <c r="D2" s="816"/>
      <c r="E2" s="816"/>
      <c r="F2" s="816"/>
      <c r="G2" s="816"/>
      <c r="H2" s="816"/>
      <c r="L2" s="842" t="s">
        <v>399</v>
      </c>
      <c r="M2" s="816"/>
      <c r="N2" s="816"/>
      <c r="O2" s="816"/>
      <c r="P2" s="816"/>
      <c r="Q2" s="816"/>
      <c r="R2" s="816"/>
      <c r="S2" s="816"/>
      <c r="X2" s="88" t="s">
        <v>473</v>
      </c>
      <c r="Y2" s="89" t="s">
        <v>474</v>
      </c>
      <c r="Z2" s="90" t="s">
        <v>475</v>
      </c>
      <c r="AA2" s="88"/>
      <c r="AB2" s="88"/>
      <c r="AC2" s="88"/>
      <c r="AD2" s="88"/>
      <c r="AE2" s="88"/>
      <c r="AF2" s="88"/>
    </row>
    <row r="3" spans="1:32" ht="13.5" thickBot="1">
      <c r="A3" s="842"/>
      <c r="B3" s="842"/>
      <c r="C3" s="842"/>
      <c r="D3" s="816"/>
      <c r="E3" s="816"/>
      <c r="F3" s="816"/>
      <c r="G3" s="816"/>
      <c r="H3" s="816"/>
      <c r="L3" s="816"/>
      <c r="M3" s="816"/>
      <c r="N3" s="816"/>
      <c r="O3" s="816"/>
      <c r="P3" s="816"/>
      <c r="Q3" s="816"/>
      <c r="R3" s="816"/>
      <c r="S3" s="816"/>
      <c r="X3" s="88"/>
      <c r="Y3" s="88"/>
      <c r="Z3" s="88"/>
      <c r="AA3" s="88"/>
      <c r="AB3" s="88"/>
      <c r="AC3" s="88"/>
      <c r="AD3" s="88"/>
      <c r="AE3" s="88"/>
      <c r="AF3" s="90"/>
    </row>
    <row r="4" spans="1:32" ht="15">
      <c r="X4" s="91" t="s">
        <v>476</v>
      </c>
      <c r="Y4" s="92"/>
      <c r="Z4" s="92"/>
      <c r="AA4" s="92"/>
      <c r="AB4" s="92"/>
      <c r="AC4" s="92"/>
      <c r="AD4" s="92"/>
      <c r="AE4" s="92"/>
      <c r="AF4" s="93"/>
    </row>
    <row r="5" spans="1:32" ht="13.5" thickBot="1">
      <c r="A5" s="67" t="s">
        <v>400</v>
      </c>
      <c r="C5" s="837" t="str">
        <f>'MCS Compliance Certificate'!E10</f>
        <v>Egensys Ltd</v>
      </c>
      <c r="D5" s="838"/>
      <c r="E5" s="838"/>
      <c r="F5" s="838"/>
      <c r="G5" s="838"/>
      <c r="H5" s="839"/>
      <c r="L5" s="67" t="s">
        <v>401</v>
      </c>
      <c r="N5" s="843"/>
      <c r="O5" s="844"/>
      <c r="P5" s="844"/>
      <c r="Q5" s="844"/>
      <c r="R5" s="844"/>
      <c r="S5" s="844"/>
      <c r="T5" s="844"/>
      <c r="U5" s="844"/>
      <c r="V5" s="845"/>
      <c r="X5" s="94"/>
      <c r="Y5" s="95" t="s">
        <v>477</v>
      </c>
      <c r="Z5" s="95"/>
      <c r="AA5" s="95"/>
      <c r="AB5" s="95"/>
      <c r="AC5" s="95"/>
      <c r="AD5" s="95"/>
      <c r="AE5" s="95"/>
      <c r="AF5" s="96"/>
    </row>
    <row r="6" spans="1:32">
      <c r="A6" s="67" t="s">
        <v>402</v>
      </c>
      <c r="E6" s="837" t="str">
        <f>C5</f>
        <v>Egensys Ltd</v>
      </c>
      <c r="F6" s="838"/>
      <c r="G6" s="838"/>
      <c r="H6" s="839"/>
      <c r="L6" s="67" t="s">
        <v>403</v>
      </c>
      <c r="P6" s="846"/>
      <c r="Q6" s="847"/>
      <c r="R6" s="847"/>
      <c r="S6" s="847"/>
      <c r="T6" s="847"/>
      <c r="U6" s="847"/>
      <c r="V6" s="848"/>
      <c r="X6" s="88"/>
      <c r="Y6" s="88"/>
      <c r="Z6" s="88"/>
      <c r="AA6" s="88"/>
      <c r="AB6" s="88"/>
      <c r="AC6" s="88"/>
      <c r="AD6" s="88"/>
      <c r="AE6" s="88"/>
      <c r="AF6" s="90"/>
    </row>
    <row r="7" spans="1:32" ht="21">
      <c r="A7" s="67" t="s">
        <v>404</v>
      </c>
      <c r="E7" s="837" t="str">
        <f>'MCS Compliance Certificate'!E9</f>
        <v>NIC5717</v>
      </c>
      <c r="F7" s="838"/>
      <c r="G7" s="838"/>
      <c r="H7" s="839"/>
      <c r="P7" s="849"/>
      <c r="Q7" s="850"/>
      <c r="R7" s="850"/>
      <c r="S7" s="850"/>
      <c r="T7" s="850"/>
      <c r="U7" s="850"/>
      <c r="V7" s="851"/>
      <c r="X7" s="97" t="s">
        <v>478</v>
      </c>
      <c r="Y7" s="88"/>
      <c r="Z7" s="88"/>
      <c r="AA7" s="88"/>
      <c r="AB7" s="88"/>
      <c r="AC7" s="88"/>
      <c r="AD7" s="88"/>
      <c r="AE7" s="88"/>
      <c r="AF7" s="88"/>
    </row>
    <row r="8" spans="1:32" ht="21">
      <c r="A8" s="67" t="s">
        <v>405</v>
      </c>
      <c r="C8" s="855" t="str">
        <f>'MCS Compliance Certificate'!E11</f>
        <v>Enterprise Business Centre, Carlton Road, Worksop, S81 7QF</v>
      </c>
      <c r="D8" s="856"/>
      <c r="E8" s="856"/>
      <c r="F8" s="856"/>
      <c r="G8" s="856"/>
      <c r="H8" s="857"/>
      <c r="P8" s="852"/>
      <c r="Q8" s="853"/>
      <c r="R8" s="853"/>
      <c r="S8" s="853"/>
      <c r="T8" s="853"/>
      <c r="U8" s="853"/>
      <c r="V8" s="854"/>
      <c r="X8" s="97"/>
      <c r="Y8" s="88"/>
      <c r="Z8" s="88"/>
      <c r="AA8" s="88"/>
      <c r="AB8" s="88"/>
      <c r="AC8" s="88"/>
      <c r="AD8" s="88"/>
      <c r="AE8" s="88"/>
      <c r="AF8" s="88"/>
    </row>
    <row r="9" spans="1:32">
      <c r="C9" s="858"/>
      <c r="D9" s="859"/>
      <c r="E9" s="859"/>
      <c r="F9" s="859"/>
      <c r="G9" s="859"/>
      <c r="H9" s="860"/>
      <c r="L9" s="68" t="s">
        <v>406</v>
      </c>
      <c r="M9" s="68"/>
      <c r="N9" s="68"/>
      <c r="O9" s="68"/>
      <c r="P9" s="69"/>
      <c r="Q9" s="70"/>
      <c r="R9" s="832"/>
      <c r="S9" s="833"/>
      <c r="T9" s="833"/>
      <c r="U9" s="833"/>
      <c r="V9" s="834"/>
      <c r="X9" s="814" t="s">
        <v>479</v>
      </c>
      <c r="Y9" s="815"/>
      <c r="Z9" s="815"/>
      <c r="AA9" s="815"/>
      <c r="AB9" s="815"/>
      <c r="AC9" s="815"/>
      <c r="AD9" s="815"/>
      <c r="AE9" s="815"/>
      <c r="AF9" s="815"/>
    </row>
    <row r="10" spans="1:32">
      <c r="C10" s="861"/>
      <c r="D10" s="862"/>
      <c r="E10" s="862"/>
      <c r="F10" s="862"/>
      <c r="G10" s="862"/>
      <c r="H10" s="863"/>
      <c r="L10" s="68" t="s">
        <v>407</v>
      </c>
      <c r="M10" s="68"/>
      <c r="N10" s="68"/>
      <c r="O10" s="68"/>
      <c r="P10" s="70"/>
      <c r="Q10" s="70"/>
      <c r="R10" s="821" t="e">
        <f>'MCS calc and run costs '!#REF!</f>
        <v>#REF!</v>
      </c>
      <c r="S10" s="831"/>
      <c r="T10" s="831"/>
      <c r="U10" s="831"/>
      <c r="V10" s="822"/>
      <c r="X10" s="815"/>
      <c r="Y10" s="815"/>
      <c r="Z10" s="815"/>
      <c r="AA10" s="815"/>
      <c r="AB10" s="815"/>
      <c r="AC10" s="815"/>
      <c r="AD10" s="815"/>
      <c r="AE10" s="815"/>
      <c r="AF10" s="815"/>
    </row>
    <row r="11" spans="1:32" ht="15">
      <c r="A11" s="67" t="s">
        <v>408</v>
      </c>
      <c r="D11" s="832"/>
      <c r="E11" s="833"/>
      <c r="F11" s="833"/>
      <c r="G11" s="833"/>
      <c r="H11" s="834"/>
      <c r="X11" s="88" t="s">
        <v>480</v>
      </c>
      <c r="Y11" s="10"/>
      <c r="Z11" s="10"/>
      <c r="AA11" s="10"/>
      <c r="AB11" s="10"/>
      <c r="AC11" s="10"/>
      <c r="AD11" s="10"/>
      <c r="AE11" s="10"/>
      <c r="AF11" s="10"/>
    </row>
    <row r="12" spans="1:32" ht="21">
      <c r="D12" s="70"/>
      <c r="E12" s="70"/>
      <c r="F12" s="70"/>
      <c r="G12" s="70"/>
      <c r="H12" s="70"/>
      <c r="L12" s="816" t="s">
        <v>409</v>
      </c>
      <c r="M12" s="816"/>
      <c r="N12" s="816"/>
      <c r="O12" s="816"/>
      <c r="P12" s="816"/>
      <c r="Q12" s="816"/>
      <c r="R12" s="816"/>
      <c r="S12" s="816"/>
      <c r="T12" s="816"/>
      <c r="U12" s="816"/>
      <c r="V12" s="835" t="s">
        <v>124</v>
      </c>
      <c r="X12" s="97"/>
      <c r="Y12" s="88"/>
      <c r="Z12" s="88"/>
      <c r="AA12" s="88"/>
      <c r="AB12" s="88"/>
      <c r="AC12" s="88"/>
      <c r="AD12" s="88"/>
      <c r="AE12" s="88"/>
      <c r="AF12" s="88"/>
    </row>
    <row r="13" spans="1:32" ht="15">
      <c r="L13" s="816"/>
      <c r="M13" s="816"/>
      <c r="N13" s="816"/>
      <c r="O13" s="816"/>
      <c r="P13" s="816"/>
      <c r="Q13" s="816"/>
      <c r="R13" s="816"/>
      <c r="S13" s="816"/>
      <c r="T13" s="816"/>
      <c r="U13" s="816"/>
      <c r="V13" s="836"/>
      <c r="X13" s="88" t="s">
        <v>493</v>
      </c>
      <c r="Y13" s="88"/>
      <c r="Z13" s="88"/>
      <c r="AA13" s="88"/>
      <c r="AB13" s="88"/>
      <c r="AC13" s="88"/>
      <c r="AD13" s="88"/>
      <c r="AE13"/>
      <c r="AF13"/>
    </row>
    <row r="14" spans="1:32" ht="15">
      <c r="X14" s="88"/>
      <c r="Y14" s="88"/>
      <c r="Z14" s="88"/>
      <c r="AA14" s="88"/>
      <c r="AB14" s="88"/>
      <c r="AC14" s="88"/>
      <c r="AD14" s="88"/>
      <c r="AE14" s="10"/>
      <c r="AF14" s="10"/>
    </row>
    <row r="15" spans="1:32" ht="21">
      <c r="A15" s="67" t="s">
        <v>410</v>
      </c>
      <c r="C15" s="837" t="s">
        <v>454</v>
      </c>
      <c r="D15" s="838"/>
      <c r="E15" s="838"/>
      <c r="F15" s="839"/>
      <c r="H15" s="67" t="s">
        <v>411</v>
      </c>
      <c r="M15" s="840" t="s">
        <v>125</v>
      </c>
      <c r="N15" s="841"/>
      <c r="O15" s="70"/>
      <c r="X15" s="97" t="s">
        <v>481</v>
      </c>
      <c r="Y15" s="88"/>
      <c r="Z15" s="88"/>
      <c r="AA15" s="88"/>
      <c r="AB15" s="88"/>
      <c r="AC15" s="88"/>
      <c r="AD15" s="88"/>
      <c r="AE15" s="98"/>
      <c r="AF15" s="98"/>
    </row>
    <row r="16" spans="1:32" ht="15">
      <c r="X16" s="88" t="s">
        <v>482</v>
      </c>
      <c r="Y16"/>
      <c r="Z16"/>
      <c r="AA16"/>
      <c r="AB16"/>
      <c r="AC16"/>
      <c r="AD16"/>
      <c r="AE16"/>
      <c r="AF16" s="10"/>
    </row>
    <row r="17" spans="1:34" ht="15">
      <c r="A17" s="67" t="s">
        <v>412</v>
      </c>
      <c r="D17" s="71"/>
      <c r="F17" s="72"/>
      <c r="H17" s="67" t="s">
        <v>413</v>
      </c>
      <c r="L17" s="73"/>
      <c r="X17"/>
      <c r="Y17"/>
      <c r="Z17"/>
      <c r="AA17"/>
      <c r="AB17"/>
      <c r="AC17"/>
      <c r="AD17"/>
      <c r="AE17"/>
      <c r="AF17" s="10"/>
    </row>
    <row r="18" spans="1:34" ht="15">
      <c r="A18" s="67" t="s">
        <v>414</v>
      </c>
      <c r="D18" s="71"/>
      <c r="F18" s="73"/>
      <c r="X18" s="100"/>
      <c r="Y18" s="101"/>
      <c r="Z18" s="101"/>
      <c r="AA18" s="101"/>
      <c r="AB18" s="101"/>
      <c r="AC18" s="101"/>
      <c r="AD18" s="101"/>
      <c r="AE18" s="101"/>
      <c r="AF18" s="110"/>
      <c r="AG18" s="111"/>
      <c r="AH18" s="112"/>
    </row>
    <row r="19" spans="1:34" ht="15">
      <c r="A19" s="67" t="s">
        <v>415</v>
      </c>
      <c r="D19" s="71"/>
      <c r="F19" s="73"/>
      <c r="H19" s="829" t="s">
        <v>416</v>
      </c>
      <c r="I19" s="830"/>
      <c r="J19" s="830"/>
      <c r="K19" s="830"/>
      <c r="L19" s="75" t="e">
        <f>#REF!</f>
        <v>#REF!</v>
      </c>
      <c r="X19" s="102" t="s">
        <v>483</v>
      </c>
      <c r="Y19" s="99"/>
      <c r="Z19" s="103" t="s">
        <v>484</v>
      </c>
      <c r="AA19" s="99"/>
      <c r="AB19" s="99"/>
      <c r="AC19" s="99"/>
      <c r="AD19" s="99"/>
      <c r="AE19" s="104"/>
      <c r="AF19" s="6"/>
      <c r="AG19" s="71"/>
      <c r="AH19" s="113"/>
    </row>
    <row r="20" spans="1:34" ht="15">
      <c r="D20" s="71"/>
      <c r="X20" s="102"/>
      <c r="Y20" s="99"/>
      <c r="Z20" s="103"/>
      <c r="AA20" s="99"/>
      <c r="AB20" s="99"/>
      <c r="AC20" s="99"/>
      <c r="AD20" s="99"/>
      <c r="AE20" s="104"/>
      <c r="AF20" s="6"/>
      <c r="AG20" s="71"/>
      <c r="AH20" s="113"/>
    </row>
    <row r="21" spans="1:34" ht="15">
      <c r="A21" s="74" t="s">
        <v>417</v>
      </c>
      <c r="D21" s="71"/>
      <c r="X21" s="102" t="s">
        <v>485</v>
      </c>
      <c r="Y21" s="99"/>
      <c r="Z21" s="99" t="s">
        <v>486</v>
      </c>
      <c r="AA21" s="99"/>
      <c r="AB21" s="99"/>
      <c r="AC21" s="99"/>
      <c r="AD21" s="99"/>
      <c r="AE21" s="104"/>
      <c r="AF21" s="6"/>
      <c r="AG21" s="71"/>
      <c r="AH21" s="113"/>
    </row>
    <row r="22" spans="1:34" ht="15">
      <c r="D22" s="71"/>
      <c r="X22" s="102"/>
      <c r="Y22" s="99"/>
      <c r="Z22" s="99"/>
      <c r="AA22" s="99"/>
      <c r="AB22" s="99"/>
      <c r="AC22" s="99"/>
      <c r="AD22" s="99"/>
      <c r="AE22" s="104"/>
      <c r="AF22" s="6"/>
      <c r="AG22" s="71"/>
      <c r="AH22" s="113"/>
    </row>
    <row r="23" spans="1:34" ht="15">
      <c r="F23" s="817" t="s">
        <v>418</v>
      </c>
      <c r="H23" s="817" t="s">
        <v>419</v>
      </c>
      <c r="J23" s="817" t="s">
        <v>420</v>
      </c>
      <c r="K23" s="817"/>
      <c r="L23" s="817"/>
      <c r="R23" s="817" t="s">
        <v>421</v>
      </c>
      <c r="S23" s="817"/>
      <c r="U23" s="817" t="s">
        <v>422</v>
      </c>
      <c r="V23" s="817"/>
      <c r="X23" s="102" t="s">
        <v>487</v>
      </c>
      <c r="Y23" s="99"/>
      <c r="Z23" s="99" t="s">
        <v>488</v>
      </c>
      <c r="AA23" s="99"/>
      <c r="AB23" s="99"/>
      <c r="AC23" s="99"/>
      <c r="AD23" s="99"/>
      <c r="AE23" s="104"/>
      <c r="AF23" s="6"/>
      <c r="AG23" s="71"/>
      <c r="AH23" s="113"/>
    </row>
    <row r="24" spans="1:34" ht="15">
      <c r="C24" s="67" t="s">
        <v>423</v>
      </c>
      <c r="F24" s="817"/>
      <c r="H24" s="817"/>
      <c r="J24" s="817"/>
      <c r="K24" s="817"/>
      <c r="L24" s="817"/>
      <c r="N24" s="817" t="s">
        <v>424</v>
      </c>
      <c r="O24" s="817"/>
      <c r="P24" s="817"/>
      <c r="R24" s="817"/>
      <c r="S24" s="817"/>
      <c r="U24" s="817"/>
      <c r="V24" s="817"/>
      <c r="X24" s="105"/>
      <c r="Y24" s="99"/>
      <c r="Z24" s="99"/>
      <c r="AA24" s="99"/>
      <c r="AB24" s="99"/>
      <c r="AC24" s="99"/>
      <c r="AD24" s="99"/>
      <c r="AE24" s="104"/>
      <c r="AF24" s="6"/>
      <c r="AG24" s="71"/>
      <c r="AH24" s="113"/>
    </row>
    <row r="25" spans="1:34" ht="15">
      <c r="X25" s="102" t="s">
        <v>489</v>
      </c>
      <c r="Y25" s="99"/>
      <c r="Z25" s="99" t="s">
        <v>490</v>
      </c>
      <c r="AA25" s="99"/>
      <c r="AB25" s="99"/>
      <c r="AC25" s="99"/>
      <c r="AD25" s="99"/>
      <c r="AE25" s="104"/>
      <c r="AF25" s="6"/>
      <c r="AG25" s="71"/>
      <c r="AH25" s="113"/>
    </row>
    <row r="26" spans="1:34" ht="15">
      <c r="A26" s="67" t="s">
        <v>425</v>
      </c>
      <c r="C26" s="810" t="e">
        <f>#REF!</f>
        <v>#REF!</v>
      </c>
      <c r="D26" s="810"/>
      <c r="F26" s="116" t="e">
        <f>#REF!</f>
        <v>#REF!</v>
      </c>
      <c r="H26" s="117" t="e">
        <f>#REF!</f>
        <v>#REF!</v>
      </c>
      <c r="J26" s="826" t="e">
        <f>(#REF!)/((R26-F26)/50)</f>
        <v>#REF!</v>
      </c>
      <c r="K26" s="827"/>
      <c r="L26" s="828"/>
      <c r="N26" s="818" t="e">
        <f>J26/H26</f>
        <v>#REF!</v>
      </c>
      <c r="O26" s="819"/>
      <c r="P26" s="820"/>
      <c r="R26" s="806" t="e">
        <f>#REF!</f>
        <v>#REF!</v>
      </c>
      <c r="S26" s="807"/>
      <c r="U26" s="808" t="s">
        <v>426</v>
      </c>
      <c r="V26" s="809"/>
      <c r="X26" s="105"/>
      <c r="Y26" s="99"/>
      <c r="Z26" s="99" t="s">
        <v>491</v>
      </c>
      <c r="AA26" s="99"/>
      <c r="AB26" s="99"/>
      <c r="AC26" s="99"/>
      <c r="AD26" s="99"/>
      <c r="AE26" s="104"/>
      <c r="AF26" s="6"/>
      <c r="AG26" s="71"/>
      <c r="AH26" s="113"/>
    </row>
    <row r="27" spans="1:34" ht="15">
      <c r="A27" s="67" t="s">
        <v>427</v>
      </c>
      <c r="C27" s="810" t="e">
        <f>#REF!</f>
        <v>#REF!</v>
      </c>
      <c r="D27" s="810"/>
      <c r="F27" s="116" t="e">
        <f>#REF!</f>
        <v>#REF!</v>
      </c>
      <c r="H27" s="117" t="e">
        <f>#REF!</f>
        <v>#REF!</v>
      </c>
      <c r="J27" s="826" t="e">
        <f>(#REF!)/((R27-F27)/50)</f>
        <v>#REF!</v>
      </c>
      <c r="K27" s="827"/>
      <c r="L27" s="828"/>
      <c r="N27" s="818" t="e">
        <f t="shared" ref="N27:N49" si="0">J27/H27</f>
        <v>#REF!</v>
      </c>
      <c r="O27" s="819"/>
      <c r="P27" s="820"/>
      <c r="R27" s="806" t="e">
        <f>#REF!</f>
        <v>#REF!</v>
      </c>
      <c r="S27" s="807"/>
      <c r="U27" s="808" t="s">
        <v>426</v>
      </c>
      <c r="V27" s="809"/>
      <c r="X27" s="105"/>
      <c r="Y27" s="99"/>
      <c r="Z27" s="99" t="s">
        <v>492</v>
      </c>
      <c r="AA27" s="99"/>
      <c r="AB27" s="99"/>
      <c r="AC27" s="99"/>
      <c r="AD27" s="99"/>
      <c r="AE27" s="104"/>
      <c r="AF27" s="6"/>
      <c r="AG27" s="71"/>
      <c r="AH27" s="113"/>
    </row>
    <row r="28" spans="1:34" ht="15">
      <c r="A28" s="67" t="s">
        <v>428</v>
      </c>
      <c r="C28" s="810" t="e">
        <f>#REF!</f>
        <v>#REF!</v>
      </c>
      <c r="D28" s="810"/>
      <c r="F28" s="116" t="e">
        <f>#REF!</f>
        <v>#REF!</v>
      </c>
      <c r="H28" s="117" t="e">
        <f>#REF!</f>
        <v>#REF!</v>
      </c>
      <c r="J28" s="826" t="e">
        <f>(#REF!)/((R28-F28)/50)</f>
        <v>#REF!</v>
      </c>
      <c r="K28" s="827"/>
      <c r="L28" s="828"/>
      <c r="N28" s="818" t="e">
        <f t="shared" si="0"/>
        <v>#REF!</v>
      </c>
      <c r="O28" s="819"/>
      <c r="P28" s="820"/>
      <c r="R28" s="806" t="e">
        <f>#REF!</f>
        <v>#REF!</v>
      </c>
      <c r="S28" s="807"/>
      <c r="U28" s="808" t="s">
        <v>426</v>
      </c>
      <c r="V28" s="809"/>
      <c r="X28" s="105"/>
      <c r="Y28" s="99"/>
      <c r="Z28" s="99" t="s">
        <v>407</v>
      </c>
      <c r="AA28" s="99"/>
      <c r="AB28" s="99"/>
      <c r="AC28" s="99"/>
      <c r="AD28" s="99"/>
      <c r="AE28" s="104"/>
      <c r="AF28" s="6"/>
      <c r="AG28" s="71"/>
      <c r="AH28" s="113"/>
    </row>
    <row r="29" spans="1:34" ht="15">
      <c r="A29" s="67" t="s">
        <v>429</v>
      </c>
      <c r="C29" s="810" t="e">
        <f>#REF!</f>
        <v>#REF!</v>
      </c>
      <c r="D29" s="810"/>
      <c r="F29" s="116" t="e">
        <f>#REF!</f>
        <v>#REF!</v>
      </c>
      <c r="H29" s="117" t="e">
        <f>#REF!</f>
        <v>#REF!</v>
      </c>
      <c r="J29" s="826" t="e">
        <f>(#REF!)/((R29-F29)/50)</f>
        <v>#REF!</v>
      </c>
      <c r="K29" s="827"/>
      <c r="L29" s="828"/>
      <c r="N29" s="818" t="e">
        <f t="shared" si="0"/>
        <v>#REF!</v>
      </c>
      <c r="O29" s="819"/>
      <c r="P29" s="820"/>
      <c r="R29" s="806" t="e">
        <f>#REF!</f>
        <v>#REF!</v>
      </c>
      <c r="S29" s="807"/>
      <c r="U29" s="808" t="s">
        <v>426</v>
      </c>
      <c r="V29" s="809"/>
      <c r="X29" s="106"/>
      <c r="Y29" s="107"/>
      <c r="Z29" s="108"/>
      <c r="AA29" s="108"/>
      <c r="AB29" s="108"/>
      <c r="AC29" s="108"/>
      <c r="AD29" s="107"/>
      <c r="AE29" s="109"/>
      <c r="AF29" s="108"/>
      <c r="AG29" s="114"/>
      <c r="AH29" s="115"/>
    </row>
    <row r="30" spans="1:34">
      <c r="A30" s="67" t="s">
        <v>430</v>
      </c>
      <c r="C30" s="810" t="e">
        <f>#REF!</f>
        <v>#REF!</v>
      </c>
      <c r="D30" s="810"/>
      <c r="F30" s="116" t="e">
        <f>#REF!</f>
        <v>#REF!</v>
      </c>
      <c r="H30" s="117" t="e">
        <f>#REF!</f>
        <v>#REF!</v>
      </c>
      <c r="J30" s="826" t="e">
        <f>(#REF!)/((R30-F30)/50)</f>
        <v>#REF!</v>
      </c>
      <c r="K30" s="827"/>
      <c r="L30" s="828"/>
      <c r="N30" s="818" t="e">
        <f t="shared" si="0"/>
        <v>#REF!</v>
      </c>
      <c r="O30" s="819"/>
      <c r="P30" s="820"/>
      <c r="R30" s="806" t="e">
        <f>#REF!</f>
        <v>#REF!</v>
      </c>
      <c r="S30" s="807"/>
      <c r="U30" s="808" t="s">
        <v>426</v>
      </c>
      <c r="V30" s="809"/>
    </row>
    <row r="31" spans="1:34">
      <c r="A31" s="67" t="s">
        <v>431</v>
      </c>
      <c r="C31" s="810" t="e">
        <f>#REF!</f>
        <v>#REF!</v>
      </c>
      <c r="D31" s="810"/>
      <c r="F31" s="116" t="e">
        <f>#REF!</f>
        <v>#REF!</v>
      </c>
      <c r="H31" s="117" t="e">
        <f>#REF!</f>
        <v>#REF!</v>
      </c>
      <c r="J31" s="826" t="e">
        <f>(#REF!)/((R31-F31)/50)</f>
        <v>#REF!</v>
      </c>
      <c r="K31" s="827"/>
      <c r="L31" s="828"/>
      <c r="N31" s="818" t="e">
        <f t="shared" si="0"/>
        <v>#REF!</v>
      </c>
      <c r="O31" s="819"/>
      <c r="P31" s="820"/>
      <c r="R31" s="806" t="e">
        <f>#REF!</f>
        <v>#REF!</v>
      </c>
      <c r="S31" s="807"/>
      <c r="U31" s="808" t="s">
        <v>426</v>
      </c>
      <c r="V31" s="809"/>
    </row>
    <row r="32" spans="1:34">
      <c r="A32" s="67" t="s">
        <v>432</v>
      </c>
      <c r="C32" s="810" t="e">
        <f>#REF!</f>
        <v>#REF!</v>
      </c>
      <c r="D32" s="810"/>
      <c r="F32" s="116" t="e">
        <f>#REF!</f>
        <v>#REF!</v>
      </c>
      <c r="H32" s="117" t="e">
        <f>#REF!</f>
        <v>#REF!</v>
      </c>
      <c r="J32" s="826" t="e">
        <f>(#REF!)/((R32-F32)/50)</f>
        <v>#REF!</v>
      </c>
      <c r="K32" s="827"/>
      <c r="L32" s="828"/>
      <c r="N32" s="818" t="e">
        <f t="shared" si="0"/>
        <v>#REF!</v>
      </c>
      <c r="O32" s="819"/>
      <c r="P32" s="820"/>
      <c r="R32" s="806" t="e">
        <f>#REF!</f>
        <v>#REF!</v>
      </c>
      <c r="S32" s="807"/>
      <c r="U32" s="808" t="s">
        <v>426</v>
      </c>
      <c r="V32" s="809"/>
    </row>
    <row r="33" spans="1:22">
      <c r="A33" s="67" t="s">
        <v>433</v>
      </c>
      <c r="C33" s="810" t="e">
        <f>#REF!</f>
        <v>#REF!</v>
      </c>
      <c r="D33" s="810"/>
      <c r="F33" s="116" t="e">
        <f>#REF!</f>
        <v>#REF!</v>
      </c>
      <c r="H33" s="117" t="e">
        <f>#REF!</f>
        <v>#REF!</v>
      </c>
      <c r="J33" s="826" t="e">
        <f>(#REF!)/((R33-F33)/50)</f>
        <v>#REF!</v>
      </c>
      <c r="K33" s="827"/>
      <c r="L33" s="828"/>
      <c r="N33" s="818" t="e">
        <f t="shared" si="0"/>
        <v>#REF!</v>
      </c>
      <c r="O33" s="819"/>
      <c r="P33" s="820"/>
      <c r="R33" s="806" t="e">
        <f>#REF!</f>
        <v>#REF!</v>
      </c>
      <c r="S33" s="807"/>
      <c r="U33" s="808" t="s">
        <v>426</v>
      </c>
      <c r="V33" s="809"/>
    </row>
    <row r="34" spans="1:22">
      <c r="A34" s="67" t="s">
        <v>434</v>
      </c>
      <c r="C34" s="810" t="e">
        <f>#REF!</f>
        <v>#REF!</v>
      </c>
      <c r="D34" s="810"/>
      <c r="F34" s="116" t="e">
        <f>#REF!</f>
        <v>#REF!</v>
      </c>
      <c r="H34" s="117" t="e">
        <f>#REF!</f>
        <v>#REF!</v>
      </c>
      <c r="J34" s="826" t="e">
        <f>(#REF!)/((R34-F34)/50)</f>
        <v>#REF!</v>
      </c>
      <c r="K34" s="827"/>
      <c r="L34" s="828"/>
      <c r="N34" s="818" t="e">
        <f t="shared" si="0"/>
        <v>#REF!</v>
      </c>
      <c r="O34" s="819"/>
      <c r="P34" s="820"/>
      <c r="R34" s="806" t="e">
        <f>#REF!</f>
        <v>#REF!</v>
      </c>
      <c r="S34" s="807"/>
      <c r="U34" s="808" t="s">
        <v>426</v>
      </c>
      <c r="V34" s="809"/>
    </row>
    <row r="35" spans="1:22">
      <c r="A35" s="67" t="s">
        <v>435</v>
      </c>
      <c r="C35" s="810" t="e">
        <f>#REF!</f>
        <v>#REF!</v>
      </c>
      <c r="D35" s="810"/>
      <c r="F35" s="116" t="e">
        <f>#REF!</f>
        <v>#REF!</v>
      </c>
      <c r="H35" s="117" t="e">
        <f>#REF!</f>
        <v>#REF!</v>
      </c>
      <c r="J35" s="826" t="e">
        <f>(#REF!)/((R35-F35)/50)</f>
        <v>#REF!</v>
      </c>
      <c r="K35" s="827"/>
      <c r="L35" s="828"/>
      <c r="N35" s="818" t="e">
        <f t="shared" si="0"/>
        <v>#REF!</v>
      </c>
      <c r="O35" s="819"/>
      <c r="P35" s="820"/>
      <c r="R35" s="806" t="e">
        <f>#REF!</f>
        <v>#REF!</v>
      </c>
      <c r="S35" s="807"/>
      <c r="U35" s="808" t="s">
        <v>426</v>
      </c>
      <c r="V35" s="809"/>
    </row>
    <row r="36" spans="1:22">
      <c r="A36" s="67" t="s">
        <v>436</v>
      </c>
      <c r="C36" s="810" t="e">
        <f>#REF!</f>
        <v>#REF!</v>
      </c>
      <c r="D36" s="810"/>
      <c r="F36" s="116" t="e">
        <f>#REF!</f>
        <v>#REF!</v>
      </c>
      <c r="H36" s="117" t="e">
        <f>#REF!</f>
        <v>#REF!</v>
      </c>
      <c r="J36" s="826" t="e">
        <f>(#REF!)/((R36-F36)/50)</f>
        <v>#REF!</v>
      </c>
      <c r="K36" s="827"/>
      <c r="L36" s="828"/>
      <c r="N36" s="818" t="e">
        <f t="shared" si="0"/>
        <v>#REF!</v>
      </c>
      <c r="O36" s="819"/>
      <c r="P36" s="820"/>
      <c r="R36" s="806" t="e">
        <f>#REF!</f>
        <v>#REF!</v>
      </c>
      <c r="S36" s="807"/>
      <c r="U36" s="808" t="s">
        <v>426</v>
      </c>
      <c r="V36" s="809"/>
    </row>
    <row r="37" spans="1:22">
      <c r="A37" s="67" t="s">
        <v>437</v>
      </c>
      <c r="C37" s="810" t="e">
        <f>#REF!</f>
        <v>#REF!</v>
      </c>
      <c r="D37" s="810"/>
      <c r="F37" s="116" t="e">
        <f>#REF!</f>
        <v>#REF!</v>
      </c>
      <c r="H37" s="117" t="e">
        <f>#REF!</f>
        <v>#REF!</v>
      </c>
      <c r="J37" s="826" t="e">
        <f>(#REF!)/((R37-F37)/50)</f>
        <v>#REF!</v>
      </c>
      <c r="K37" s="827"/>
      <c r="L37" s="828"/>
      <c r="N37" s="818" t="e">
        <f t="shared" si="0"/>
        <v>#REF!</v>
      </c>
      <c r="O37" s="819"/>
      <c r="P37" s="820"/>
      <c r="R37" s="806" t="e">
        <f>#REF!</f>
        <v>#REF!</v>
      </c>
      <c r="S37" s="807"/>
      <c r="U37" s="808" t="s">
        <v>426</v>
      </c>
      <c r="V37" s="809"/>
    </row>
    <row r="38" spans="1:22">
      <c r="A38" s="67" t="s">
        <v>438</v>
      </c>
      <c r="C38" s="810" t="e">
        <f>#REF!</f>
        <v>#REF!</v>
      </c>
      <c r="D38" s="810"/>
      <c r="F38" s="116" t="e">
        <f>#REF!</f>
        <v>#REF!</v>
      </c>
      <c r="H38" s="117" t="e">
        <f>#REF!</f>
        <v>#REF!</v>
      </c>
      <c r="J38" s="826" t="e">
        <f>(#REF!)/((R38-F38)/50)</f>
        <v>#REF!</v>
      </c>
      <c r="K38" s="827"/>
      <c r="L38" s="828"/>
      <c r="N38" s="818" t="e">
        <f t="shared" si="0"/>
        <v>#REF!</v>
      </c>
      <c r="O38" s="819"/>
      <c r="P38" s="820"/>
      <c r="R38" s="806" t="e">
        <f>#REF!</f>
        <v>#REF!</v>
      </c>
      <c r="S38" s="807"/>
      <c r="U38" s="808" t="s">
        <v>426</v>
      </c>
      <c r="V38" s="809"/>
    </row>
    <row r="39" spans="1:22">
      <c r="A39" s="67" t="s">
        <v>439</v>
      </c>
      <c r="C39" s="810" t="e">
        <f>#REF!</f>
        <v>#REF!</v>
      </c>
      <c r="D39" s="810"/>
      <c r="F39" s="116" t="e">
        <f>#REF!</f>
        <v>#REF!</v>
      </c>
      <c r="H39" s="117" t="e">
        <f>#REF!</f>
        <v>#REF!</v>
      </c>
      <c r="J39" s="826" t="e">
        <f>(#REF!)/((R39-F39)/50)</f>
        <v>#REF!</v>
      </c>
      <c r="K39" s="827"/>
      <c r="L39" s="828"/>
      <c r="N39" s="818" t="e">
        <f t="shared" si="0"/>
        <v>#REF!</v>
      </c>
      <c r="O39" s="819"/>
      <c r="P39" s="820"/>
      <c r="R39" s="806" t="e">
        <f>#REF!</f>
        <v>#REF!</v>
      </c>
      <c r="S39" s="807"/>
      <c r="U39" s="808" t="s">
        <v>426</v>
      </c>
      <c r="V39" s="809"/>
    </row>
    <row r="40" spans="1:22">
      <c r="A40" s="67" t="s">
        <v>440</v>
      </c>
      <c r="C40" s="810" t="e">
        <f>#REF!</f>
        <v>#REF!</v>
      </c>
      <c r="D40" s="810"/>
      <c r="F40" s="116" t="e">
        <f>#REF!</f>
        <v>#REF!</v>
      </c>
      <c r="H40" s="117" t="e">
        <f>#REF!</f>
        <v>#REF!</v>
      </c>
      <c r="J40" s="826" t="e">
        <f>(#REF!)/((R40-F40)/50)</f>
        <v>#REF!</v>
      </c>
      <c r="K40" s="827"/>
      <c r="L40" s="828"/>
      <c r="N40" s="818" t="e">
        <f t="shared" si="0"/>
        <v>#REF!</v>
      </c>
      <c r="O40" s="819"/>
      <c r="P40" s="820"/>
      <c r="R40" s="806" t="e">
        <f>#REF!</f>
        <v>#REF!</v>
      </c>
      <c r="S40" s="807"/>
      <c r="U40" s="808" t="s">
        <v>426</v>
      </c>
      <c r="V40" s="809"/>
    </row>
    <row r="41" spans="1:22">
      <c r="A41" s="67" t="s">
        <v>494</v>
      </c>
      <c r="C41" s="810" t="e">
        <f>#REF!</f>
        <v>#REF!</v>
      </c>
      <c r="D41" s="810"/>
      <c r="F41" s="116" t="e">
        <f>#REF!</f>
        <v>#REF!</v>
      </c>
      <c r="H41" s="117" t="e">
        <f>#REF!</f>
        <v>#REF!</v>
      </c>
      <c r="J41" s="826" t="e">
        <f>(#REF!)/((R41-F41)/50)</f>
        <v>#REF!</v>
      </c>
      <c r="K41" s="827"/>
      <c r="L41" s="828"/>
      <c r="N41" s="818" t="e">
        <f t="shared" si="0"/>
        <v>#REF!</v>
      </c>
      <c r="O41" s="819"/>
      <c r="P41" s="820"/>
      <c r="R41" s="806" t="e">
        <f>#REF!</f>
        <v>#REF!</v>
      </c>
      <c r="S41" s="807"/>
      <c r="U41" s="808" t="s">
        <v>426</v>
      </c>
      <c r="V41" s="809"/>
    </row>
    <row r="42" spans="1:22">
      <c r="A42" s="67" t="s">
        <v>495</v>
      </c>
      <c r="C42" s="810" t="e">
        <f>#REF!</f>
        <v>#REF!</v>
      </c>
      <c r="D42" s="810"/>
      <c r="F42" s="116" t="e">
        <f>#REF!</f>
        <v>#REF!</v>
      </c>
      <c r="H42" s="117" t="e">
        <f>#REF!</f>
        <v>#REF!</v>
      </c>
      <c r="J42" s="826" t="e">
        <f>(#REF!)/((R42-F42)/50)</f>
        <v>#REF!</v>
      </c>
      <c r="K42" s="827"/>
      <c r="L42" s="828"/>
      <c r="N42" s="818" t="e">
        <f t="shared" si="0"/>
        <v>#REF!</v>
      </c>
      <c r="O42" s="819"/>
      <c r="P42" s="820"/>
      <c r="R42" s="806" t="e">
        <f>#REF!</f>
        <v>#REF!</v>
      </c>
      <c r="S42" s="807"/>
      <c r="U42" s="808" t="s">
        <v>426</v>
      </c>
      <c r="V42" s="809"/>
    </row>
    <row r="43" spans="1:22">
      <c r="A43" s="67" t="s">
        <v>496</v>
      </c>
      <c r="C43" s="810" t="e">
        <f>#REF!</f>
        <v>#REF!</v>
      </c>
      <c r="D43" s="810"/>
      <c r="F43" s="116" t="e">
        <f>#REF!</f>
        <v>#REF!</v>
      </c>
      <c r="H43" s="117" t="e">
        <f>#REF!</f>
        <v>#REF!</v>
      </c>
      <c r="J43" s="826" t="e">
        <f>(#REF!)/((R43-F43)/50)</f>
        <v>#REF!</v>
      </c>
      <c r="K43" s="827"/>
      <c r="L43" s="828"/>
      <c r="N43" s="818" t="e">
        <f t="shared" si="0"/>
        <v>#REF!</v>
      </c>
      <c r="O43" s="819"/>
      <c r="P43" s="820"/>
      <c r="R43" s="806" t="e">
        <f>#REF!</f>
        <v>#REF!</v>
      </c>
      <c r="S43" s="807"/>
      <c r="U43" s="808" t="s">
        <v>426</v>
      </c>
      <c r="V43" s="809"/>
    </row>
    <row r="44" spans="1:22">
      <c r="A44" s="67" t="s">
        <v>497</v>
      </c>
      <c r="C44" s="810" t="e">
        <f>#REF!</f>
        <v>#REF!</v>
      </c>
      <c r="D44" s="810"/>
      <c r="F44" s="116" t="e">
        <f>#REF!</f>
        <v>#REF!</v>
      </c>
      <c r="H44" s="117" t="e">
        <f>#REF!</f>
        <v>#REF!</v>
      </c>
      <c r="J44" s="826" t="e">
        <f>(#REF!)/((R44-F44)/50)</f>
        <v>#REF!</v>
      </c>
      <c r="K44" s="827"/>
      <c r="L44" s="828"/>
      <c r="N44" s="818" t="e">
        <f t="shared" si="0"/>
        <v>#REF!</v>
      </c>
      <c r="O44" s="819"/>
      <c r="P44" s="820"/>
      <c r="R44" s="806" t="e">
        <f>#REF!</f>
        <v>#REF!</v>
      </c>
      <c r="S44" s="807"/>
      <c r="U44" s="808" t="s">
        <v>426</v>
      </c>
      <c r="V44" s="809"/>
    </row>
    <row r="45" spans="1:22">
      <c r="A45" s="67" t="s">
        <v>498</v>
      </c>
      <c r="C45" s="810" t="e">
        <f>#REF!</f>
        <v>#REF!</v>
      </c>
      <c r="D45" s="810"/>
      <c r="F45" s="116" t="e">
        <f>#REF!</f>
        <v>#REF!</v>
      </c>
      <c r="H45" s="117" t="e">
        <f>#REF!</f>
        <v>#REF!</v>
      </c>
      <c r="J45" s="826" t="e">
        <f>(#REF!)/((R45-F45)/50)</f>
        <v>#REF!</v>
      </c>
      <c r="K45" s="827"/>
      <c r="L45" s="828"/>
      <c r="N45" s="818" t="e">
        <f t="shared" si="0"/>
        <v>#REF!</v>
      </c>
      <c r="O45" s="819"/>
      <c r="P45" s="820"/>
      <c r="R45" s="806" t="e">
        <f>#REF!</f>
        <v>#REF!</v>
      </c>
      <c r="S45" s="807"/>
      <c r="U45" s="808" t="s">
        <v>426</v>
      </c>
      <c r="V45" s="809"/>
    </row>
    <row r="46" spans="1:22">
      <c r="A46" s="67" t="s">
        <v>499</v>
      </c>
      <c r="C46" s="810" t="e">
        <f>#REF!</f>
        <v>#REF!</v>
      </c>
      <c r="D46" s="810"/>
      <c r="F46" s="116" t="e">
        <f>#REF!</f>
        <v>#REF!</v>
      </c>
      <c r="H46" s="117" t="e">
        <f>#REF!</f>
        <v>#REF!</v>
      </c>
      <c r="J46" s="826" t="e">
        <f>(#REF!)/((R46-F46)/50)</f>
        <v>#REF!</v>
      </c>
      <c r="K46" s="827"/>
      <c r="L46" s="828"/>
      <c r="N46" s="818" t="e">
        <f t="shared" si="0"/>
        <v>#REF!</v>
      </c>
      <c r="O46" s="819"/>
      <c r="P46" s="820"/>
      <c r="R46" s="806" t="e">
        <f>#REF!</f>
        <v>#REF!</v>
      </c>
      <c r="S46" s="807"/>
      <c r="U46" s="808" t="s">
        <v>426</v>
      </c>
      <c r="V46" s="809"/>
    </row>
    <row r="47" spans="1:22">
      <c r="A47" s="67" t="s">
        <v>500</v>
      </c>
      <c r="C47" s="810" t="e">
        <f>#REF!</f>
        <v>#REF!</v>
      </c>
      <c r="D47" s="810"/>
      <c r="F47" s="116" t="e">
        <f>#REF!</f>
        <v>#REF!</v>
      </c>
      <c r="H47" s="117" t="e">
        <f>#REF!</f>
        <v>#REF!</v>
      </c>
      <c r="J47" s="826" t="e">
        <f>(#REF!)/((R47-F47)/50)</f>
        <v>#REF!</v>
      </c>
      <c r="K47" s="827"/>
      <c r="L47" s="828"/>
      <c r="N47" s="818" t="e">
        <f t="shared" si="0"/>
        <v>#REF!</v>
      </c>
      <c r="O47" s="819"/>
      <c r="P47" s="820"/>
      <c r="R47" s="806" t="e">
        <f>#REF!</f>
        <v>#REF!</v>
      </c>
      <c r="S47" s="807"/>
      <c r="U47" s="808" t="s">
        <v>426</v>
      </c>
      <c r="V47" s="809"/>
    </row>
    <row r="48" spans="1:22">
      <c r="A48" s="67" t="s">
        <v>501</v>
      </c>
      <c r="C48" s="810" t="e">
        <f>#REF!</f>
        <v>#REF!</v>
      </c>
      <c r="D48" s="810"/>
      <c r="F48" s="116" t="e">
        <f>#REF!</f>
        <v>#REF!</v>
      </c>
      <c r="H48" s="117" t="e">
        <f>#REF!</f>
        <v>#REF!</v>
      </c>
      <c r="J48" s="826" t="e">
        <f>(#REF!)/((R48-F48)/50)</f>
        <v>#REF!</v>
      </c>
      <c r="K48" s="827"/>
      <c r="L48" s="828"/>
      <c r="N48" s="818" t="e">
        <f t="shared" si="0"/>
        <v>#REF!</v>
      </c>
      <c r="O48" s="819"/>
      <c r="P48" s="820"/>
      <c r="R48" s="806" t="e">
        <f>#REF!</f>
        <v>#REF!</v>
      </c>
      <c r="S48" s="807"/>
      <c r="U48" s="808" t="s">
        <v>426</v>
      </c>
      <c r="V48" s="809"/>
    </row>
    <row r="49" spans="1:22">
      <c r="A49" s="67" t="s">
        <v>502</v>
      </c>
      <c r="C49" s="810" t="e">
        <f>#REF!</f>
        <v>#REF!</v>
      </c>
      <c r="D49" s="810"/>
      <c r="F49" s="116" t="e">
        <f>#REF!</f>
        <v>#REF!</v>
      </c>
      <c r="H49" s="117" t="e">
        <f>#REF!</f>
        <v>#REF!</v>
      </c>
      <c r="J49" s="826" t="e">
        <f>(#REF!)/((R49-F49)/50)</f>
        <v>#REF!</v>
      </c>
      <c r="K49" s="827"/>
      <c r="L49" s="828"/>
      <c r="N49" s="818" t="e">
        <f t="shared" si="0"/>
        <v>#REF!</v>
      </c>
      <c r="O49" s="819"/>
      <c r="P49" s="820"/>
      <c r="R49" s="806" t="e">
        <f>#REF!</f>
        <v>#REF!</v>
      </c>
      <c r="S49" s="807"/>
      <c r="U49" s="808" t="s">
        <v>426</v>
      </c>
      <c r="V49" s="809"/>
    </row>
    <row r="50" spans="1:22">
      <c r="D50" s="76"/>
      <c r="R50" s="77">
        <v>5</v>
      </c>
    </row>
    <row r="51" spans="1:22">
      <c r="A51" s="74" t="s">
        <v>441</v>
      </c>
      <c r="D51" s="71"/>
      <c r="F51" s="67" t="s">
        <v>503</v>
      </c>
    </row>
    <row r="52" spans="1:22">
      <c r="D52" s="71"/>
    </row>
    <row r="53" spans="1:22">
      <c r="F53" s="816" t="s">
        <v>418</v>
      </c>
      <c r="H53" s="817" t="s">
        <v>442</v>
      </c>
      <c r="I53" s="817"/>
      <c r="J53" s="817"/>
      <c r="K53" s="78"/>
      <c r="L53" s="817" t="s">
        <v>443</v>
      </c>
      <c r="M53" s="68"/>
      <c r="N53" s="817" t="s">
        <v>444</v>
      </c>
      <c r="O53" s="79"/>
      <c r="P53" s="817" t="s">
        <v>445</v>
      </c>
      <c r="Q53" s="68"/>
      <c r="R53" s="817" t="s">
        <v>421</v>
      </c>
      <c r="S53" s="817"/>
      <c r="U53" s="817" t="s">
        <v>422</v>
      </c>
      <c r="V53" s="817"/>
    </row>
    <row r="54" spans="1:22">
      <c r="C54" s="67" t="s">
        <v>423</v>
      </c>
      <c r="F54" s="816"/>
      <c r="H54" s="817"/>
      <c r="I54" s="817"/>
      <c r="J54" s="817"/>
      <c r="K54" s="78"/>
      <c r="L54" s="817"/>
      <c r="M54" s="68"/>
      <c r="N54" s="817"/>
      <c r="O54" s="79"/>
      <c r="P54" s="817"/>
      <c r="Q54" s="68"/>
      <c r="R54" s="817"/>
      <c r="S54" s="817"/>
      <c r="U54" s="817"/>
      <c r="V54" s="817"/>
    </row>
    <row r="55" spans="1:22">
      <c r="H55" s="68"/>
      <c r="I55" s="68"/>
      <c r="J55" s="68"/>
      <c r="K55" s="68"/>
      <c r="L55" s="68"/>
      <c r="M55" s="68"/>
      <c r="N55" s="68"/>
      <c r="O55" s="68"/>
      <c r="P55" s="68"/>
      <c r="Q55" s="68"/>
    </row>
    <row r="56" spans="1:22">
      <c r="A56" s="67" t="s">
        <v>425</v>
      </c>
      <c r="C56" s="810" t="e">
        <f>C26</f>
        <v>#REF!</v>
      </c>
      <c r="D56" s="810"/>
      <c r="F56" s="116" t="e">
        <f>F26</f>
        <v>#REF!</v>
      </c>
      <c r="H56" s="811" t="e">
        <f>#REF!</f>
        <v>#REF!</v>
      </c>
      <c r="I56" s="812"/>
      <c r="J56" s="813"/>
      <c r="K56" s="80"/>
      <c r="L56" s="75"/>
      <c r="M56" s="70"/>
      <c r="N56" s="75"/>
      <c r="O56" s="70"/>
      <c r="P56" s="75"/>
      <c r="Q56" s="70"/>
      <c r="R56" s="806">
        <v>45</v>
      </c>
      <c r="S56" s="807"/>
      <c r="U56" s="808" t="s">
        <v>468</v>
      </c>
      <c r="V56" s="809"/>
    </row>
    <row r="57" spans="1:22">
      <c r="A57" s="67" t="s">
        <v>427</v>
      </c>
      <c r="C57" s="810" t="e">
        <f t="shared" ref="C57:C79" si="1">C27</f>
        <v>#REF!</v>
      </c>
      <c r="D57" s="810"/>
      <c r="F57" s="116" t="e">
        <f t="shared" ref="F57:F79" si="2">F27</f>
        <v>#REF!</v>
      </c>
      <c r="H57" s="811" t="e">
        <f>#REF!</f>
        <v>#REF!</v>
      </c>
      <c r="I57" s="812"/>
      <c r="J57" s="813"/>
      <c r="K57" s="80"/>
      <c r="L57" s="75"/>
      <c r="M57" s="70"/>
      <c r="N57" s="75"/>
      <c r="O57" s="70"/>
      <c r="P57" s="75"/>
      <c r="Q57" s="70"/>
      <c r="R57" s="806"/>
      <c r="S57" s="807"/>
      <c r="U57" s="808" t="s">
        <v>468</v>
      </c>
      <c r="V57" s="809"/>
    </row>
    <row r="58" spans="1:22">
      <c r="A58" s="67" t="s">
        <v>428</v>
      </c>
      <c r="C58" s="810" t="e">
        <f t="shared" si="1"/>
        <v>#REF!</v>
      </c>
      <c r="D58" s="810"/>
      <c r="F58" s="116" t="e">
        <f t="shared" si="2"/>
        <v>#REF!</v>
      </c>
      <c r="H58" s="811" t="e">
        <f>#REF!</f>
        <v>#REF!</v>
      </c>
      <c r="I58" s="812"/>
      <c r="J58" s="813"/>
      <c r="K58" s="80"/>
      <c r="L58" s="75"/>
      <c r="M58" s="70"/>
      <c r="N58" s="75"/>
      <c r="O58" s="70"/>
      <c r="P58" s="75"/>
      <c r="Q58" s="70"/>
      <c r="R58" s="806"/>
      <c r="S58" s="807"/>
      <c r="U58" s="808" t="s">
        <v>468</v>
      </c>
      <c r="V58" s="809"/>
    </row>
    <row r="59" spans="1:22">
      <c r="A59" s="67" t="s">
        <v>429</v>
      </c>
      <c r="C59" s="810" t="e">
        <f t="shared" si="1"/>
        <v>#REF!</v>
      </c>
      <c r="D59" s="810"/>
      <c r="F59" s="116" t="e">
        <f t="shared" si="2"/>
        <v>#REF!</v>
      </c>
      <c r="H59" s="811" t="e">
        <f>#REF!</f>
        <v>#REF!</v>
      </c>
      <c r="I59" s="812"/>
      <c r="J59" s="813"/>
      <c r="K59" s="80"/>
      <c r="L59" s="75"/>
      <c r="M59" s="70"/>
      <c r="N59" s="75"/>
      <c r="O59" s="70"/>
      <c r="P59" s="75"/>
      <c r="Q59" s="70"/>
      <c r="R59" s="806"/>
      <c r="S59" s="807"/>
      <c r="U59" s="808" t="s">
        <v>468</v>
      </c>
      <c r="V59" s="809"/>
    </row>
    <row r="60" spans="1:22">
      <c r="A60" s="67" t="s">
        <v>430</v>
      </c>
      <c r="C60" s="810" t="e">
        <f t="shared" si="1"/>
        <v>#REF!</v>
      </c>
      <c r="D60" s="810"/>
      <c r="F60" s="116" t="e">
        <f t="shared" si="2"/>
        <v>#REF!</v>
      </c>
      <c r="H60" s="811" t="e">
        <f>#REF!</f>
        <v>#REF!</v>
      </c>
      <c r="I60" s="812"/>
      <c r="J60" s="813"/>
      <c r="K60" s="80"/>
      <c r="L60" s="75"/>
      <c r="M60" s="70"/>
      <c r="N60" s="75"/>
      <c r="O60" s="70"/>
      <c r="P60" s="75"/>
      <c r="Q60" s="70"/>
      <c r="R60" s="806"/>
      <c r="S60" s="807"/>
      <c r="U60" s="808" t="s">
        <v>468</v>
      </c>
      <c r="V60" s="809"/>
    </row>
    <row r="61" spans="1:22">
      <c r="A61" s="67" t="s">
        <v>431</v>
      </c>
      <c r="C61" s="810" t="e">
        <f t="shared" si="1"/>
        <v>#REF!</v>
      </c>
      <c r="D61" s="810"/>
      <c r="F61" s="116" t="e">
        <f t="shared" si="2"/>
        <v>#REF!</v>
      </c>
      <c r="H61" s="811" t="e">
        <f>#REF!</f>
        <v>#REF!</v>
      </c>
      <c r="I61" s="812"/>
      <c r="J61" s="813"/>
      <c r="K61" s="80"/>
      <c r="L61" s="75"/>
      <c r="M61" s="70"/>
      <c r="N61" s="75"/>
      <c r="O61" s="70"/>
      <c r="P61" s="75"/>
      <c r="Q61" s="70"/>
      <c r="R61" s="806"/>
      <c r="S61" s="807"/>
      <c r="U61" s="808" t="s">
        <v>468</v>
      </c>
      <c r="V61" s="809"/>
    </row>
    <row r="62" spans="1:22">
      <c r="A62" s="67" t="s">
        <v>432</v>
      </c>
      <c r="C62" s="810" t="e">
        <f t="shared" si="1"/>
        <v>#REF!</v>
      </c>
      <c r="D62" s="810"/>
      <c r="F62" s="116" t="e">
        <f t="shared" si="2"/>
        <v>#REF!</v>
      </c>
      <c r="H62" s="811" t="e">
        <f>#REF!</f>
        <v>#REF!</v>
      </c>
      <c r="I62" s="812"/>
      <c r="J62" s="813"/>
      <c r="K62" s="80"/>
      <c r="L62" s="75"/>
      <c r="M62" s="70"/>
      <c r="N62" s="75"/>
      <c r="O62" s="70"/>
      <c r="P62" s="75"/>
      <c r="Q62" s="70"/>
      <c r="R62" s="806"/>
      <c r="S62" s="807"/>
      <c r="U62" s="808" t="s">
        <v>468</v>
      </c>
      <c r="V62" s="809"/>
    </row>
    <row r="63" spans="1:22">
      <c r="A63" s="67" t="s">
        <v>433</v>
      </c>
      <c r="C63" s="810" t="e">
        <f t="shared" si="1"/>
        <v>#REF!</v>
      </c>
      <c r="D63" s="810"/>
      <c r="F63" s="116" t="e">
        <f t="shared" si="2"/>
        <v>#REF!</v>
      </c>
      <c r="H63" s="811" t="e">
        <f>#REF!</f>
        <v>#REF!</v>
      </c>
      <c r="I63" s="812"/>
      <c r="J63" s="813"/>
      <c r="K63" s="80"/>
      <c r="L63" s="75"/>
      <c r="M63" s="70"/>
      <c r="N63" s="75"/>
      <c r="O63" s="70"/>
      <c r="P63" s="75"/>
      <c r="Q63" s="70"/>
      <c r="R63" s="806"/>
      <c r="S63" s="807"/>
      <c r="U63" s="808" t="s">
        <v>468</v>
      </c>
      <c r="V63" s="809"/>
    </row>
    <row r="64" spans="1:22">
      <c r="A64" s="67" t="s">
        <v>434</v>
      </c>
      <c r="C64" s="810" t="e">
        <f t="shared" si="1"/>
        <v>#REF!</v>
      </c>
      <c r="D64" s="810"/>
      <c r="F64" s="116" t="e">
        <f t="shared" si="2"/>
        <v>#REF!</v>
      </c>
      <c r="H64" s="811" t="e">
        <f>#REF!</f>
        <v>#REF!</v>
      </c>
      <c r="I64" s="812"/>
      <c r="J64" s="813"/>
      <c r="K64" s="80"/>
      <c r="L64" s="75"/>
      <c r="M64" s="70"/>
      <c r="N64" s="75"/>
      <c r="O64" s="70"/>
      <c r="P64" s="75"/>
      <c r="Q64" s="70"/>
      <c r="R64" s="806"/>
      <c r="S64" s="807"/>
      <c r="U64" s="808" t="s">
        <v>468</v>
      </c>
      <c r="V64" s="809"/>
    </row>
    <row r="65" spans="1:22">
      <c r="A65" s="67" t="s">
        <v>435</v>
      </c>
      <c r="C65" s="810" t="e">
        <f t="shared" si="1"/>
        <v>#REF!</v>
      </c>
      <c r="D65" s="810"/>
      <c r="F65" s="116" t="e">
        <f t="shared" si="2"/>
        <v>#REF!</v>
      </c>
      <c r="H65" s="811" t="e">
        <f>#REF!</f>
        <v>#REF!</v>
      </c>
      <c r="I65" s="812"/>
      <c r="J65" s="813"/>
      <c r="K65" s="80"/>
      <c r="L65" s="75"/>
      <c r="M65" s="70"/>
      <c r="N65" s="75"/>
      <c r="O65" s="70"/>
      <c r="P65" s="75"/>
      <c r="Q65" s="70"/>
      <c r="R65" s="806"/>
      <c r="S65" s="807"/>
      <c r="U65" s="808" t="s">
        <v>468</v>
      </c>
      <c r="V65" s="809"/>
    </row>
    <row r="66" spans="1:22">
      <c r="A66" s="67" t="s">
        <v>436</v>
      </c>
      <c r="C66" s="810" t="e">
        <f t="shared" si="1"/>
        <v>#REF!</v>
      </c>
      <c r="D66" s="810"/>
      <c r="F66" s="116" t="e">
        <f t="shared" si="2"/>
        <v>#REF!</v>
      </c>
      <c r="H66" s="811" t="e">
        <f>#REF!</f>
        <v>#REF!</v>
      </c>
      <c r="I66" s="812"/>
      <c r="J66" s="813"/>
      <c r="K66" s="80"/>
      <c r="L66" s="75"/>
      <c r="M66" s="70"/>
      <c r="N66" s="75"/>
      <c r="O66" s="70"/>
      <c r="P66" s="75"/>
      <c r="Q66" s="70"/>
      <c r="R66" s="806"/>
      <c r="S66" s="807"/>
      <c r="U66" s="808" t="s">
        <v>468</v>
      </c>
      <c r="V66" s="809"/>
    </row>
    <row r="67" spans="1:22">
      <c r="A67" s="67" t="s">
        <v>437</v>
      </c>
      <c r="C67" s="810" t="e">
        <f t="shared" si="1"/>
        <v>#REF!</v>
      </c>
      <c r="D67" s="810"/>
      <c r="F67" s="116" t="e">
        <f t="shared" si="2"/>
        <v>#REF!</v>
      </c>
      <c r="H67" s="811" t="e">
        <f>#REF!</f>
        <v>#REF!</v>
      </c>
      <c r="I67" s="812"/>
      <c r="J67" s="813"/>
      <c r="K67" s="80"/>
      <c r="L67" s="75"/>
      <c r="M67" s="70"/>
      <c r="N67" s="75"/>
      <c r="O67" s="70"/>
      <c r="P67" s="75"/>
      <c r="Q67" s="70"/>
      <c r="R67" s="806"/>
      <c r="S67" s="807"/>
      <c r="U67" s="808" t="s">
        <v>468</v>
      </c>
      <c r="V67" s="809"/>
    </row>
    <row r="68" spans="1:22">
      <c r="A68" s="67" t="s">
        <v>438</v>
      </c>
      <c r="C68" s="810" t="e">
        <f t="shared" si="1"/>
        <v>#REF!</v>
      </c>
      <c r="D68" s="810"/>
      <c r="F68" s="116" t="e">
        <f t="shared" si="2"/>
        <v>#REF!</v>
      </c>
      <c r="H68" s="811" t="e">
        <f>#REF!</f>
        <v>#REF!</v>
      </c>
      <c r="I68" s="812"/>
      <c r="J68" s="813"/>
      <c r="K68" s="80"/>
      <c r="L68" s="75"/>
      <c r="M68" s="70"/>
      <c r="N68" s="75"/>
      <c r="O68" s="70"/>
      <c r="P68" s="75"/>
      <c r="Q68" s="70"/>
      <c r="R68" s="806"/>
      <c r="S68" s="807"/>
      <c r="U68" s="808" t="s">
        <v>468</v>
      </c>
      <c r="V68" s="809"/>
    </row>
    <row r="69" spans="1:22">
      <c r="A69" s="67" t="s">
        <v>439</v>
      </c>
      <c r="C69" s="810" t="e">
        <f t="shared" si="1"/>
        <v>#REF!</v>
      </c>
      <c r="D69" s="810"/>
      <c r="F69" s="116" t="e">
        <f t="shared" si="2"/>
        <v>#REF!</v>
      </c>
      <c r="H69" s="811" t="e">
        <f>#REF!</f>
        <v>#REF!</v>
      </c>
      <c r="I69" s="812"/>
      <c r="J69" s="813"/>
      <c r="K69" s="80"/>
      <c r="L69" s="75"/>
      <c r="M69" s="70"/>
      <c r="N69" s="75"/>
      <c r="O69" s="70"/>
      <c r="P69" s="75"/>
      <c r="Q69" s="70"/>
      <c r="R69" s="806"/>
      <c r="S69" s="807"/>
      <c r="U69" s="808" t="s">
        <v>468</v>
      </c>
      <c r="V69" s="809"/>
    </row>
    <row r="70" spans="1:22">
      <c r="A70" s="67" t="s">
        <v>440</v>
      </c>
      <c r="C70" s="810" t="e">
        <f t="shared" si="1"/>
        <v>#REF!</v>
      </c>
      <c r="D70" s="810"/>
      <c r="F70" s="116" t="e">
        <f t="shared" si="2"/>
        <v>#REF!</v>
      </c>
      <c r="H70" s="811" t="e">
        <f>#REF!</f>
        <v>#REF!</v>
      </c>
      <c r="I70" s="812"/>
      <c r="J70" s="813"/>
      <c r="K70" s="80"/>
      <c r="L70" s="75"/>
      <c r="M70" s="70"/>
      <c r="N70" s="75"/>
      <c r="O70" s="70"/>
      <c r="P70" s="75"/>
      <c r="Q70" s="70"/>
      <c r="R70" s="806"/>
      <c r="S70" s="807"/>
      <c r="U70" s="808" t="s">
        <v>468</v>
      </c>
      <c r="V70" s="809"/>
    </row>
    <row r="71" spans="1:22">
      <c r="A71" s="67" t="s">
        <v>494</v>
      </c>
      <c r="C71" s="810" t="e">
        <f t="shared" si="1"/>
        <v>#REF!</v>
      </c>
      <c r="D71" s="810"/>
      <c r="F71" s="116" t="e">
        <f t="shared" si="2"/>
        <v>#REF!</v>
      </c>
      <c r="H71" s="811" t="e">
        <f>#REF!</f>
        <v>#REF!</v>
      </c>
      <c r="I71" s="812"/>
      <c r="J71" s="813"/>
      <c r="K71" s="80"/>
      <c r="L71" s="75"/>
      <c r="M71" s="70"/>
      <c r="N71" s="75"/>
      <c r="O71" s="70"/>
      <c r="P71" s="75"/>
      <c r="Q71" s="70"/>
      <c r="R71" s="806"/>
      <c r="S71" s="807"/>
      <c r="U71" s="808" t="s">
        <v>468</v>
      </c>
      <c r="V71" s="809"/>
    </row>
    <row r="72" spans="1:22">
      <c r="A72" s="67" t="s">
        <v>495</v>
      </c>
      <c r="C72" s="810" t="e">
        <f t="shared" si="1"/>
        <v>#REF!</v>
      </c>
      <c r="D72" s="810"/>
      <c r="F72" s="116" t="e">
        <f t="shared" si="2"/>
        <v>#REF!</v>
      </c>
      <c r="H72" s="811" t="e">
        <f>#REF!</f>
        <v>#REF!</v>
      </c>
      <c r="I72" s="812"/>
      <c r="J72" s="813"/>
      <c r="K72" s="80"/>
      <c r="L72" s="75"/>
      <c r="M72" s="70"/>
      <c r="N72" s="75"/>
      <c r="O72" s="70"/>
      <c r="P72" s="75"/>
      <c r="Q72" s="70"/>
      <c r="R72" s="806"/>
      <c r="S72" s="807"/>
      <c r="U72" s="808" t="s">
        <v>468</v>
      </c>
      <c r="V72" s="809"/>
    </row>
    <row r="73" spans="1:22">
      <c r="A73" s="67" t="s">
        <v>496</v>
      </c>
      <c r="C73" s="810" t="e">
        <f t="shared" si="1"/>
        <v>#REF!</v>
      </c>
      <c r="D73" s="810"/>
      <c r="F73" s="116" t="e">
        <f t="shared" si="2"/>
        <v>#REF!</v>
      </c>
      <c r="H73" s="811" t="e">
        <f>#REF!</f>
        <v>#REF!</v>
      </c>
      <c r="I73" s="812"/>
      <c r="J73" s="813"/>
      <c r="K73" s="80"/>
      <c r="L73" s="75"/>
      <c r="M73" s="70"/>
      <c r="N73" s="75"/>
      <c r="O73" s="70"/>
      <c r="P73" s="75"/>
      <c r="Q73" s="70"/>
      <c r="R73" s="806"/>
      <c r="S73" s="807"/>
      <c r="U73" s="808" t="s">
        <v>468</v>
      </c>
      <c r="V73" s="809"/>
    </row>
    <row r="74" spans="1:22">
      <c r="A74" s="67" t="s">
        <v>497</v>
      </c>
      <c r="C74" s="810" t="e">
        <f t="shared" si="1"/>
        <v>#REF!</v>
      </c>
      <c r="D74" s="810"/>
      <c r="F74" s="116" t="e">
        <f t="shared" si="2"/>
        <v>#REF!</v>
      </c>
      <c r="H74" s="811" t="e">
        <f>#REF!</f>
        <v>#REF!</v>
      </c>
      <c r="I74" s="812"/>
      <c r="J74" s="813"/>
      <c r="K74" s="80"/>
      <c r="L74" s="75"/>
      <c r="M74" s="70"/>
      <c r="N74" s="75"/>
      <c r="O74" s="70"/>
      <c r="P74" s="75"/>
      <c r="Q74" s="70"/>
      <c r="R74" s="806"/>
      <c r="S74" s="807"/>
      <c r="U74" s="808" t="s">
        <v>468</v>
      </c>
      <c r="V74" s="809"/>
    </row>
    <row r="75" spans="1:22">
      <c r="A75" s="67" t="s">
        <v>498</v>
      </c>
      <c r="C75" s="810" t="e">
        <f t="shared" si="1"/>
        <v>#REF!</v>
      </c>
      <c r="D75" s="810"/>
      <c r="F75" s="116" t="e">
        <f t="shared" si="2"/>
        <v>#REF!</v>
      </c>
      <c r="H75" s="811" t="e">
        <f>#REF!</f>
        <v>#REF!</v>
      </c>
      <c r="I75" s="812"/>
      <c r="J75" s="813"/>
      <c r="K75" s="80"/>
      <c r="L75" s="75"/>
      <c r="M75" s="70"/>
      <c r="N75" s="75"/>
      <c r="O75" s="70"/>
      <c r="P75" s="75"/>
      <c r="Q75" s="70"/>
      <c r="R75" s="806"/>
      <c r="S75" s="807"/>
      <c r="U75" s="808" t="s">
        <v>468</v>
      </c>
      <c r="V75" s="809"/>
    </row>
    <row r="76" spans="1:22">
      <c r="A76" s="67" t="s">
        <v>499</v>
      </c>
      <c r="C76" s="810" t="e">
        <f t="shared" si="1"/>
        <v>#REF!</v>
      </c>
      <c r="D76" s="810"/>
      <c r="F76" s="116" t="e">
        <f t="shared" si="2"/>
        <v>#REF!</v>
      </c>
      <c r="H76" s="811" t="e">
        <f>#REF!</f>
        <v>#REF!</v>
      </c>
      <c r="I76" s="812"/>
      <c r="J76" s="813"/>
      <c r="K76" s="80"/>
      <c r="L76" s="75"/>
      <c r="M76" s="70"/>
      <c r="N76" s="75"/>
      <c r="O76" s="70"/>
      <c r="P76" s="75"/>
      <c r="Q76" s="70"/>
      <c r="R76" s="806"/>
      <c r="S76" s="807"/>
      <c r="U76" s="808" t="s">
        <v>468</v>
      </c>
      <c r="V76" s="809"/>
    </row>
    <row r="77" spans="1:22">
      <c r="A77" s="67" t="s">
        <v>500</v>
      </c>
      <c r="C77" s="810" t="e">
        <f t="shared" si="1"/>
        <v>#REF!</v>
      </c>
      <c r="D77" s="810"/>
      <c r="F77" s="116" t="e">
        <f t="shared" si="2"/>
        <v>#REF!</v>
      </c>
      <c r="H77" s="811" t="e">
        <f>#REF!</f>
        <v>#REF!</v>
      </c>
      <c r="I77" s="812"/>
      <c r="J77" s="813"/>
      <c r="K77" s="80"/>
      <c r="L77" s="75"/>
      <c r="M77" s="70"/>
      <c r="N77" s="75"/>
      <c r="O77" s="70"/>
      <c r="P77" s="75"/>
      <c r="Q77" s="70"/>
      <c r="R77" s="806"/>
      <c r="S77" s="807"/>
      <c r="U77" s="808" t="s">
        <v>468</v>
      </c>
      <c r="V77" s="809"/>
    </row>
    <row r="78" spans="1:22">
      <c r="A78" s="67" t="s">
        <v>501</v>
      </c>
      <c r="C78" s="810" t="e">
        <f t="shared" si="1"/>
        <v>#REF!</v>
      </c>
      <c r="D78" s="810"/>
      <c r="F78" s="116" t="e">
        <f t="shared" si="2"/>
        <v>#REF!</v>
      </c>
      <c r="H78" s="811" t="e">
        <f>#REF!</f>
        <v>#REF!</v>
      </c>
      <c r="I78" s="812"/>
      <c r="J78" s="813"/>
      <c r="K78" s="80"/>
      <c r="L78" s="75"/>
      <c r="M78" s="70"/>
      <c r="N78" s="75"/>
      <c r="O78" s="70"/>
      <c r="P78" s="75"/>
      <c r="Q78" s="70"/>
      <c r="R78" s="806"/>
      <c r="S78" s="807"/>
      <c r="U78" s="808" t="s">
        <v>468</v>
      </c>
      <c r="V78" s="809"/>
    </row>
    <row r="79" spans="1:22">
      <c r="A79" s="67" t="s">
        <v>502</v>
      </c>
      <c r="C79" s="810" t="e">
        <f t="shared" si="1"/>
        <v>#REF!</v>
      </c>
      <c r="D79" s="810"/>
      <c r="F79" s="116" t="e">
        <f t="shared" si="2"/>
        <v>#REF!</v>
      </c>
      <c r="H79" s="811" t="e">
        <f>#REF!</f>
        <v>#REF!</v>
      </c>
      <c r="I79" s="812"/>
      <c r="J79" s="813"/>
      <c r="K79" s="80"/>
      <c r="L79" s="75"/>
      <c r="M79" s="70"/>
      <c r="N79" s="75"/>
      <c r="O79" s="70"/>
      <c r="P79" s="75"/>
      <c r="Q79" s="70"/>
      <c r="R79" s="806"/>
      <c r="S79" s="807"/>
      <c r="U79" s="808" t="s">
        <v>468</v>
      </c>
      <c r="V79" s="809"/>
    </row>
    <row r="80" spans="1:22">
      <c r="N80" s="76"/>
      <c r="R80" s="77">
        <v>6</v>
      </c>
    </row>
    <row r="81" spans="1:22" ht="12.75" customHeight="1" thickBot="1">
      <c r="F81" s="816" t="s">
        <v>446</v>
      </c>
      <c r="G81" s="816"/>
      <c r="H81" s="816"/>
      <c r="R81" s="77">
        <v>7</v>
      </c>
    </row>
    <row r="82" spans="1:22" ht="13.5" thickBot="1">
      <c r="A82" s="67" t="s">
        <v>447</v>
      </c>
      <c r="C82" s="821"/>
      <c r="D82" s="822"/>
      <c r="E82" s="70"/>
      <c r="F82" s="816"/>
      <c r="G82" s="816"/>
      <c r="H82" s="816"/>
      <c r="I82" s="70"/>
      <c r="J82" s="75"/>
      <c r="L82" s="81" t="s">
        <v>448</v>
      </c>
      <c r="N82" s="82"/>
      <c r="O82" s="83"/>
      <c r="P82" s="71"/>
      <c r="R82" s="823"/>
      <c r="S82" s="823"/>
      <c r="T82" s="823"/>
      <c r="U82" s="823"/>
      <c r="V82" s="71"/>
    </row>
    <row r="83" spans="1:22">
      <c r="R83" s="77">
        <v>9</v>
      </c>
    </row>
    <row r="84" spans="1:22">
      <c r="R84" s="77">
        <v>11</v>
      </c>
    </row>
    <row r="85" spans="1:22">
      <c r="A85" s="84" t="s">
        <v>449</v>
      </c>
      <c r="R85" s="119" t="s">
        <v>124</v>
      </c>
    </row>
    <row r="86" spans="1:22">
      <c r="R86" s="77"/>
    </row>
    <row r="87" spans="1:22">
      <c r="A87" s="816" t="s">
        <v>450</v>
      </c>
      <c r="B87" s="816"/>
      <c r="C87" s="816"/>
      <c r="D87" s="816"/>
      <c r="E87" s="816"/>
      <c r="F87" s="816"/>
      <c r="G87" s="816"/>
      <c r="H87" s="816"/>
      <c r="I87" s="816"/>
      <c r="J87" s="816"/>
      <c r="K87" s="816"/>
      <c r="L87" s="816"/>
      <c r="M87" s="816"/>
      <c r="N87" s="816"/>
      <c r="O87" s="816"/>
      <c r="P87" s="816"/>
      <c r="Q87" s="816"/>
      <c r="R87" s="816"/>
      <c r="S87" s="816"/>
      <c r="T87" s="816"/>
      <c r="U87" s="816"/>
      <c r="V87" s="816"/>
    </row>
    <row r="88" spans="1:22">
      <c r="A88" s="816"/>
      <c r="B88" s="816"/>
      <c r="C88" s="816"/>
      <c r="D88" s="816"/>
      <c r="E88" s="816"/>
      <c r="F88" s="816"/>
      <c r="G88" s="816"/>
      <c r="H88" s="816"/>
      <c r="I88" s="816"/>
      <c r="J88" s="816"/>
      <c r="K88" s="816"/>
      <c r="L88" s="816"/>
      <c r="M88" s="816"/>
      <c r="N88" s="816"/>
      <c r="O88" s="816"/>
      <c r="P88" s="816"/>
      <c r="Q88" s="816"/>
      <c r="R88" s="816"/>
      <c r="S88" s="816"/>
      <c r="T88" s="816"/>
      <c r="U88" s="816"/>
      <c r="V88" s="816"/>
    </row>
    <row r="89" spans="1:22">
      <c r="A89" s="78"/>
      <c r="B89" s="78"/>
      <c r="C89" s="78"/>
      <c r="D89" s="78"/>
      <c r="E89" s="78"/>
      <c r="F89" s="78"/>
      <c r="G89" s="78"/>
      <c r="H89" s="78"/>
      <c r="I89" s="78"/>
      <c r="J89" s="78"/>
      <c r="K89" s="78"/>
      <c r="L89" s="78"/>
      <c r="M89" s="78"/>
      <c r="N89" s="78"/>
      <c r="O89" s="78"/>
      <c r="P89" s="78"/>
      <c r="Q89" s="78"/>
      <c r="R89" s="77"/>
    </row>
    <row r="90" spans="1:22">
      <c r="R90" s="77">
        <v>14</v>
      </c>
    </row>
    <row r="91" spans="1:22">
      <c r="A91" s="67" t="s">
        <v>451</v>
      </c>
      <c r="D91" s="824"/>
      <c r="E91" s="825"/>
      <c r="F91" s="825"/>
      <c r="G91" s="825"/>
      <c r="H91" s="825"/>
      <c r="J91" s="67" t="s">
        <v>452</v>
      </c>
      <c r="L91" s="825"/>
      <c r="M91" s="825"/>
      <c r="N91" s="825"/>
      <c r="O91" s="71"/>
      <c r="R91" s="77">
        <v>15</v>
      </c>
    </row>
    <row r="92" spans="1:22">
      <c r="R92" s="77">
        <v>16</v>
      </c>
    </row>
    <row r="93" spans="1:22">
      <c r="R93" s="77">
        <v>17</v>
      </c>
    </row>
    <row r="94" spans="1:22">
      <c r="R94" s="77">
        <v>18</v>
      </c>
    </row>
    <row r="95" spans="1:22">
      <c r="R95" s="77">
        <v>19</v>
      </c>
    </row>
    <row r="96" spans="1:22">
      <c r="R96" s="77">
        <v>20</v>
      </c>
    </row>
    <row r="216" spans="2:6">
      <c r="B216" s="67">
        <v>0</v>
      </c>
      <c r="D216" s="67" t="s">
        <v>453</v>
      </c>
    </row>
    <row r="217" spans="2:6">
      <c r="B217" s="67">
        <v>1</v>
      </c>
      <c r="D217" s="67" t="s">
        <v>454</v>
      </c>
    </row>
    <row r="218" spans="2:6">
      <c r="B218" s="67">
        <v>2</v>
      </c>
    </row>
    <row r="219" spans="2:6">
      <c r="B219" s="67">
        <v>3</v>
      </c>
      <c r="D219" s="67" t="s">
        <v>124</v>
      </c>
      <c r="F219" s="67">
        <v>35</v>
      </c>
    </row>
    <row r="220" spans="2:6">
      <c r="B220" s="67">
        <v>4</v>
      </c>
      <c r="D220" s="67" t="s">
        <v>125</v>
      </c>
      <c r="F220" s="67">
        <v>40</v>
      </c>
    </row>
    <row r="221" spans="2:6">
      <c r="B221" s="67">
        <v>5</v>
      </c>
      <c r="F221" s="67">
        <v>45</v>
      </c>
    </row>
    <row r="222" spans="2:6">
      <c r="B222" s="67">
        <v>6</v>
      </c>
      <c r="D222" s="67" t="s">
        <v>455</v>
      </c>
      <c r="F222" s="67">
        <v>50</v>
      </c>
    </row>
    <row r="223" spans="2:6">
      <c r="B223" s="67">
        <v>7</v>
      </c>
      <c r="D223" s="67" t="s">
        <v>456</v>
      </c>
      <c r="F223" s="67">
        <v>55</v>
      </c>
    </row>
    <row r="224" spans="2:6">
      <c r="B224" s="67">
        <v>8</v>
      </c>
      <c r="F224" s="67">
        <v>60</v>
      </c>
    </row>
    <row r="225" spans="2:6">
      <c r="B225" s="67">
        <v>9</v>
      </c>
      <c r="D225" s="67" t="s">
        <v>457</v>
      </c>
      <c r="F225" s="85" t="s">
        <v>458</v>
      </c>
    </row>
    <row r="226" spans="2:6">
      <c r="B226" s="67">
        <v>10</v>
      </c>
      <c r="D226" s="67" t="s">
        <v>459</v>
      </c>
    </row>
    <row r="227" spans="2:6">
      <c r="B227" s="67">
        <v>11</v>
      </c>
      <c r="D227" s="67" t="s">
        <v>460</v>
      </c>
      <c r="F227" s="67" t="s">
        <v>124</v>
      </c>
    </row>
    <row r="228" spans="2:6">
      <c r="B228" s="67">
        <v>12</v>
      </c>
      <c r="F228" s="67" t="s">
        <v>125</v>
      </c>
    </row>
    <row r="229" spans="2:6">
      <c r="B229" s="67">
        <v>13</v>
      </c>
      <c r="D229" s="67" t="s">
        <v>461</v>
      </c>
    </row>
    <row r="230" spans="2:6">
      <c r="B230" s="67">
        <v>14</v>
      </c>
      <c r="D230" s="67" t="s">
        <v>462</v>
      </c>
    </row>
    <row r="231" spans="2:6">
      <c r="B231" s="67">
        <v>15</v>
      </c>
      <c r="D231" s="67" t="s">
        <v>463</v>
      </c>
    </row>
    <row r="232" spans="2:6">
      <c r="B232" s="67">
        <v>16</v>
      </c>
      <c r="D232" s="67" t="s">
        <v>464</v>
      </c>
    </row>
    <row r="233" spans="2:6">
      <c r="B233" s="67">
        <v>17</v>
      </c>
      <c r="D233" s="67" t="s">
        <v>465</v>
      </c>
    </row>
    <row r="234" spans="2:6">
      <c r="B234" s="67">
        <v>18</v>
      </c>
    </row>
    <row r="235" spans="2:6">
      <c r="B235" s="67">
        <v>19</v>
      </c>
      <c r="D235" s="67" t="s">
        <v>466</v>
      </c>
    </row>
    <row r="236" spans="2:6">
      <c r="B236" s="67">
        <v>20</v>
      </c>
      <c r="D236" s="67" t="s">
        <v>467</v>
      </c>
    </row>
    <row r="237" spans="2:6">
      <c r="B237" s="67">
        <v>21</v>
      </c>
      <c r="D237" s="67" t="s">
        <v>426</v>
      </c>
    </row>
    <row r="238" spans="2:6">
      <c r="B238" s="67">
        <v>22</v>
      </c>
      <c r="D238" s="67" t="s">
        <v>468</v>
      </c>
    </row>
    <row r="239" spans="2:6">
      <c r="B239" s="67">
        <v>23</v>
      </c>
      <c r="D239" s="67" t="s">
        <v>469</v>
      </c>
    </row>
    <row r="240" spans="2:6">
      <c r="B240" s="67">
        <v>24</v>
      </c>
      <c r="D240" s="67" t="s">
        <v>470</v>
      </c>
    </row>
    <row r="241" spans="2:4">
      <c r="B241" s="67">
        <v>25</v>
      </c>
    </row>
    <row r="242" spans="2:4">
      <c r="B242" s="67">
        <v>26</v>
      </c>
      <c r="D242" s="67">
        <v>2.7</v>
      </c>
    </row>
    <row r="243" spans="2:4">
      <c r="B243" s="67">
        <v>27</v>
      </c>
      <c r="D243" s="67">
        <v>2.8</v>
      </c>
    </row>
    <row r="244" spans="2:4">
      <c r="B244" s="67">
        <v>28</v>
      </c>
      <c r="D244" s="86" t="s">
        <v>471</v>
      </c>
    </row>
    <row r="245" spans="2:4">
      <c r="B245" s="67">
        <v>29</v>
      </c>
      <c r="D245" s="67">
        <v>3.1</v>
      </c>
    </row>
    <row r="246" spans="2:4">
      <c r="B246" s="67">
        <v>30</v>
      </c>
      <c r="D246" s="67">
        <v>3.4</v>
      </c>
    </row>
    <row r="247" spans="2:4">
      <c r="D247" s="67">
        <v>3.6</v>
      </c>
    </row>
    <row r="248" spans="2:4">
      <c r="D248" s="67">
        <v>3.7</v>
      </c>
    </row>
    <row r="249" spans="2:4">
      <c r="D249" s="67">
        <v>4.0999999999999996</v>
      </c>
    </row>
    <row r="250" spans="2:4">
      <c r="D250" s="67">
        <v>4.3</v>
      </c>
    </row>
  </sheetData>
  <sheetProtection password="DAFF" sheet="1" objects="1" scenarios="1"/>
  <mergeCells count="252">
    <mergeCell ref="A2:H3"/>
    <mergeCell ref="L2:S3"/>
    <mergeCell ref="C5:H5"/>
    <mergeCell ref="N5:V5"/>
    <mergeCell ref="E6:H6"/>
    <mergeCell ref="P6:V8"/>
    <mergeCell ref="E7:H7"/>
    <mergeCell ref="C8:H10"/>
    <mergeCell ref="R9:V9"/>
    <mergeCell ref="H19:K19"/>
    <mergeCell ref="F23:F24"/>
    <mergeCell ref="H23:H24"/>
    <mergeCell ref="J23:L24"/>
    <mergeCell ref="R23:S24"/>
    <mergeCell ref="U23:V24"/>
    <mergeCell ref="N24:P24"/>
    <mergeCell ref="R10:V10"/>
    <mergeCell ref="D11:H11"/>
    <mergeCell ref="L12:U13"/>
    <mergeCell ref="V12:V13"/>
    <mergeCell ref="C15:F15"/>
    <mergeCell ref="M15:N15"/>
    <mergeCell ref="C26:D26"/>
    <mergeCell ref="J26:L26"/>
    <mergeCell ref="N26:P26"/>
    <mergeCell ref="R26:S26"/>
    <mergeCell ref="U26:V26"/>
    <mergeCell ref="C27:D27"/>
    <mergeCell ref="J27:L27"/>
    <mergeCell ref="N27:P27"/>
    <mergeCell ref="R27:S27"/>
    <mergeCell ref="U27:V27"/>
    <mergeCell ref="C28:D28"/>
    <mergeCell ref="J28:L28"/>
    <mergeCell ref="N28:P28"/>
    <mergeCell ref="R28:S28"/>
    <mergeCell ref="U28:V28"/>
    <mergeCell ref="C29:D29"/>
    <mergeCell ref="J29:L29"/>
    <mergeCell ref="N29:P29"/>
    <mergeCell ref="R29:S29"/>
    <mergeCell ref="U29:V29"/>
    <mergeCell ref="C30:D30"/>
    <mergeCell ref="J30:L30"/>
    <mergeCell ref="N30:P30"/>
    <mergeCell ref="R30:S30"/>
    <mergeCell ref="U30:V30"/>
    <mergeCell ref="C31:D31"/>
    <mergeCell ref="J31:L31"/>
    <mergeCell ref="N31:P31"/>
    <mergeCell ref="R31:S31"/>
    <mergeCell ref="U31:V31"/>
    <mergeCell ref="C32:D32"/>
    <mergeCell ref="J32:L32"/>
    <mergeCell ref="N32:P32"/>
    <mergeCell ref="R32:S32"/>
    <mergeCell ref="U32:V32"/>
    <mergeCell ref="C33:D33"/>
    <mergeCell ref="J33:L33"/>
    <mergeCell ref="N33:P33"/>
    <mergeCell ref="R33:S33"/>
    <mergeCell ref="U33:V33"/>
    <mergeCell ref="C34:D34"/>
    <mergeCell ref="J34:L34"/>
    <mergeCell ref="N34:P34"/>
    <mergeCell ref="R34:S34"/>
    <mergeCell ref="U34:V34"/>
    <mergeCell ref="C35:D35"/>
    <mergeCell ref="J35:L35"/>
    <mergeCell ref="N35:P35"/>
    <mergeCell ref="R35:S35"/>
    <mergeCell ref="U35:V35"/>
    <mergeCell ref="U38:V38"/>
    <mergeCell ref="C39:D39"/>
    <mergeCell ref="J39:L39"/>
    <mergeCell ref="N39:P39"/>
    <mergeCell ref="R39:S39"/>
    <mergeCell ref="U39:V39"/>
    <mergeCell ref="C36:D36"/>
    <mergeCell ref="J36:L36"/>
    <mergeCell ref="N36:P36"/>
    <mergeCell ref="R36:S36"/>
    <mergeCell ref="U36:V36"/>
    <mergeCell ref="C37:D37"/>
    <mergeCell ref="J37:L37"/>
    <mergeCell ref="N37:P37"/>
    <mergeCell ref="R37:S37"/>
    <mergeCell ref="U37:V37"/>
    <mergeCell ref="J46:L46"/>
    <mergeCell ref="J47:L47"/>
    <mergeCell ref="J48:L48"/>
    <mergeCell ref="J49:L49"/>
    <mergeCell ref="N41:P41"/>
    <mergeCell ref="C38:D38"/>
    <mergeCell ref="J38:L38"/>
    <mergeCell ref="N38:P38"/>
    <mergeCell ref="R38:S38"/>
    <mergeCell ref="J41:L41"/>
    <mergeCell ref="J42:L42"/>
    <mergeCell ref="J43:L43"/>
    <mergeCell ref="J44:L44"/>
    <mergeCell ref="J45:L45"/>
    <mergeCell ref="N42:P42"/>
    <mergeCell ref="N43:P43"/>
    <mergeCell ref="N44:P44"/>
    <mergeCell ref="N45:P45"/>
    <mergeCell ref="N46:P46"/>
    <mergeCell ref="U53:V54"/>
    <mergeCell ref="C56:D56"/>
    <mergeCell ref="H56:J56"/>
    <mergeCell ref="R56:S56"/>
    <mergeCell ref="U56:V56"/>
    <mergeCell ref="C40:D40"/>
    <mergeCell ref="J40:L40"/>
    <mergeCell ref="N40:P40"/>
    <mergeCell ref="R40:S40"/>
    <mergeCell ref="U40:V40"/>
    <mergeCell ref="F53:F54"/>
    <mergeCell ref="H53:J54"/>
    <mergeCell ref="L53:L54"/>
    <mergeCell ref="N53:N54"/>
    <mergeCell ref="P53:P54"/>
    <mergeCell ref="C41:D41"/>
    <mergeCell ref="C42:D42"/>
    <mergeCell ref="C43:D43"/>
    <mergeCell ref="C44:D44"/>
    <mergeCell ref="C45:D45"/>
    <mergeCell ref="C46:D46"/>
    <mergeCell ref="C47:D47"/>
    <mergeCell ref="C48:D48"/>
    <mergeCell ref="C49:D49"/>
    <mergeCell ref="C59:D59"/>
    <mergeCell ref="H59:J59"/>
    <mergeCell ref="R59:S59"/>
    <mergeCell ref="U59:V59"/>
    <mergeCell ref="C60:D60"/>
    <mergeCell ref="H60:J60"/>
    <mergeCell ref="R60:S60"/>
    <mergeCell ref="U60:V60"/>
    <mergeCell ref="C57:D57"/>
    <mergeCell ref="H57:J57"/>
    <mergeCell ref="R57:S57"/>
    <mergeCell ref="U57:V57"/>
    <mergeCell ref="C58:D58"/>
    <mergeCell ref="H58:J58"/>
    <mergeCell ref="R58:S58"/>
    <mergeCell ref="U58:V58"/>
    <mergeCell ref="C82:D82"/>
    <mergeCell ref="R82:U82"/>
    <mergeCell ref="A87:V88"/>
    <mergeCell ref="D91:H91"/>
    <mergeCell ref="L91:N91"/>
    <mergeCell ref="C69:D69"/>
    <mergeCell ref="H69:J69"/>
    <mergeCell ref="R69:S69"/>
    <mergeCell ref="U69:V69"/>
    <mergeCell ref="C70:D70"/>
    <mergeCell ref="C71:D71"/>
    <mergeCell ref="C72:D72"/>
    <mergeCell ref="C73:D73"/>
    <mergeCell ref="H70:J70"/>
    <mergeCell ref="H71:J71"/>
    <mergeCell ref="H72:J72"/>
    <mergeCell ref="H73:J73"/>
    <mergeCell ref="U76:V76"/>
    <mergeCell ref="U77:V77"/>
    <mergeCell ref="U78:V78"/>
    <mergeCell ref="U79:V79"/>
    <mergeCell ref="R76:S76"/>
    <mergeCell ref="R77:S77"/>
    <mergeCell ref="R78:S78"/>
    <mergeCell ref="X9:AF10"/>
    <mergeCell ref="R41:S41"/>
    <mergeCell ref="R42:S42"/>
    <mergeCell ref="F81:H82"/>
    <mergeCell ref="H67:J67"/>
    <mergeCell ref="R67:S67"/>
    <mergeCell ref="U67:V67"/>
    <mergeCell ref="H68:J68"/>
    <mergeCell ref="R68:S68"/>
    <mergeCell ref="U68:V68"/>
    <mergeCell ref="H65:J65"/>
    <mergeCell ref="R65:S65"/>
    <mergeCell ref="H61:J61"/>
    <mergeCell ref="R61:S61"/>
    <mergeCell ref="U61:V61"/>
    <mergeCell ref="H62:J62"/>
    <mergeCell ref="R62:S62"/>
    <mergeCell ref="U62:V62"/>
    <mergeCell ref="R53:S54"/>
    <mergeCell ref="N47:P47"/>
    <mergeCell ref="N48:P48"/>
    <mergeCell ref="N49:P49"/>
    <mergeCell ref="U41:V41"/>
    <mergeCell ref="U42:V42"/>
    <mergeCell ref="U43:V43"/>
    <mergeCell ref="U44:V44"/>
    <mergeCell ref="U45:V45"/>
    <mergeCell ref="U46:V46"/>
    <mergeCell ref="U47:V47"/>
    <mergeCell ref="R49:S49"/>
    <mergeCell ref="R43:S43"/>
    <mergeCell ref="R44:S44"/>
    <mergeCell ref="R45:S45"/>
    <mergeCell ref="R46:S46"/>
    <mergeCell ref="R47:S47"/>
    <mergeCell ref="R48:S48"/>
    <mergeCell ref="U48:V48"/>
    <mergeCell ref="U49:V49"/>
    <mergeCell ref="U65:V65"/>
    <mergeCell ref="C66:D66"/>
    <mergeCell ref="H66:J66"/>
    <mergeCell ref="R66:S66"/>
    <mergeCell ref="U66:V66"/>
    <mergeCell ref="C67:D67"/>
    <mergeCell ref="C68:D68"/>
    <mergeCell ref="C65:D65"/>
    <mergeCell ref="C63:D63"/>
    <mergeCell ref="H63:J63"/>
    <mergeCell ref="R63:S63"/>
    <mergeCell ref="U63:V63"/>
    <mergeCell ref="C64:D64"/>
    <mergeCell ref="H64:J64"/>
    <mergeCell ref="R64:S64"/>
    <mergeCell ref="U64:V64"/>
    <mergeCell ref="C61:D61"/>
    <mergeCell ref="C62:D62"/>
    <mergeCell ref="H74:J74"/>
    <mergeCell ref="H75:J75"/>
    <mergeCell ref="H76:J76"/>
    <mergeCell ref="H77:J77"/>
    <mergeCell ref="H78:J78"/>
    <mergeCell ref="H79:J79"/>
    <mergeCell ref="C74:D74"/>
    <mergeCell ref="C75:D75"/>
    <mergeCell ref="C76:D76"/>
    <mergeCell ref="C77:D77"/>
    <mergeCell ref="C78:D78"/>
    <mergeCell ref="C79:D79"/>
    <mergeCell ref="R79:S79"/>
    <mergeCell ref="U70:V70"/>
    <mergeCell ref="U71:V71"/>
    <mergeCell ref="U72:V72"/>
    <mergeCell ref="U73:V73"/>
    <mergeCell ref="U74:V74"/>
    <mergeCell ref="U75:V75"/>
    <mergeCell ref="R70:S70"/>
    <mergeCell ref="R71:S71"/>
    <mergeCell ref="R72:S72"/>
    <mergeCell ref="R73:S73"/>
    <mergeCell ref="R74:S74"/>
    <mergeCell ref="R75:S75"/>
  </mergeCells>
  <dataValidations count="11">
    <dataValidation type="list" allowBlank="1" showInputMessage="1" showErrorMessage="1" sqref="V12:V13 R85">
      <formula1>$F$227:$F$228</formula1>
    </dataValidation>
    <dataValidation type="list" allowBlank="1" showInputMessage="1" showErrorMessage="1" sqref="R56:S79 R26:R49 S27:S49">
      <formula1>$F$219:$F$225</formula1>
    </dataValidation>
    <dataValidation type="list" allowBlank="1" showInputMessage="1" showErrorMessage="1" sqref="N82">
      <formula1>$D$242:$D$250</formula1>
    </dataValidation>
    <dataValidation type="list" allowBlank="1" showInputMessage="1" showErrorMessage="1" sqref="J82 U26:V49 U56:V79">
      <formula1>$D$235:$D$240</formula1>
    </dataValidation>
    <dataValidation type="list" allowBlank="1" showInputMessage="1" showErrorMessage="1" sqref="P56:P79">
      <formula1>$D$229:$D$233</formula1>
    </dataValidation>
    <dataValidation type="list" allowBlank="1" showInputMessage="1" showErrorMessage="1" sqref="N56:O79">
      <formula1>$D$225:$D$227</formula1>
    </dataValidation>
    <dataValidation type="list" allowBlank="1" showInputMessage="1" showErrorMessage="1" sqref="L56:L79">
      <formula1>$D$222:$D$223</formula1>
    </dataValidation>
    <dataValidation type="list" allowBlank="1" showInputMessage="1" showErrorMessage="1" sqref="M15:O15">
      <formula1>$D$219:$D$220</formula1>
    </dataValidation>
    <dataValidation type="list" allowBlank="1" showInputMessage="1" showErrorMessage="1" sqref="C15:D15">
      <formula1>$D$216:$D$217</formula1>
    </dataValidation>
    <dataValidation type="list" allowBlank="1" showInputMessage="1" showErrorMessage="1" sqref="L17 F18:F19">
      <formula1>$B$216:$B$246</formula1>
    </dataValidation>
    <dataValidation type="list" allowBlank="1" showInputMessage="1" showErrorMessage="1" sqref="F17">
      <formula1>$B$217:$B$246</formula1>
    </dataValidation>
  </dataValidations>
  <hyperlinks>
    <hyperlink ref="Z19" r:id="rId1"/>
  </hyperlinks>
  <pageMargins left="0.70866141732283472" right="0.70866141732283472" top="0.74803149606299213" bottom="0.74803149606299213" header="0.31496062992125984" footer="0.31496062992125984"/>
  <pageSetup paperSize="9" scale="52"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sheetPr enableFormatConditionsCalculation="0">
    <tabColor rgb="FFFFC000"/>
  </sheetPr>
  <dimension ref="A1:F89"/>
  <sheetViews>
    <sheetView workbookViewId="0">
      <selection activeCell="B88" sqref="B88"/>
    </sheetView>
  </sheetViews>
  <sheetFormatPr defaultColWidth="8.85546875" defaultRowHeight="15"/>
  <cols>
    <col min="1" max="1" width="41.140625" customWidth="1"/>
    <col min="2" max="2" width="52.140625" customWidth="1"/>
    <col min="4" max="4" width="12.42578125" customWidth="1"/>
    <col min="5" max="5" width="13.7109375" customWidth="1"/>
    <col min="6" max="6" width="19.140625" customWidth="1"/>
  </cols>
  <sheetData>
    <row r="1" spans="1:4" ht="24" thickBot="1">
      <c r="A1" s="202" t="s">
        <v>759</v>
      </c>
    </row>
    <row r="2" spans="1:4" ht="24.75" customHeight="1" thickBot="1">
      <c r="A2" s="359" t="s">
        <v>741</v>
      </c>
      <c r="B2" s="882" t="str">
        <f>'Data Entry Sheet'!D7</f>
        <v>H17.176</v>
      </c>
      <c r="C2" s="883"/>
      <c r="D2" s="884"/>
    </row>
    <row r="3" spans="1:4" ht="24.75" customHeight="1" thickBot="1">
      <c r="A3" s="360" t="s">
        <v>742</v>
      </c>
      <c r="B3" s="882">
        <f>'MCS Compliance Certificate'!E6</f>
        <v>0</v>
      </c>
      <c r="C3" s="883"/>
      <c r="D3" s="884"/>
    </row>
    <row r="4" spans="1:4" ht="24.75" customHeight="1" thickBot="1">
      <c r="A4" s="360" t="s">
        <v>743</v>
      </c>
      <c r="B4" s="882">
        <f>'MCS Compliance Certificate'!E8</f>
        <v>0</v>
      </c>
      <c r="C4" s="883"/>
      <c r="D4" s="884"/>
    </row>
    <row r="5" spans="1:4" ht="24.75" customHeight="1" thickBot="1">
      <c r="A5" s="360" t="s">
        <v>744</v>
      </c>
      <c r="B5" s="882">
        <f>'Data Entry Sheet'!D20</f>
        <v>0</v>
      </c>
      <c r="C5" s="883"/>
      <c r="D5" s="884"/>
    </row>
    <row r="6" spans="1:4" ht="24.75" customHeight="1" thickBot="1">
      <c r="A6" s="360" t="s">
        <v>745</v>
      </c>
      <c r="B6" s="882">
        <f>'Data Entry Sheet'!D19</f>
        <v>0</v>
      </c>
      <c r="C6" s="883"/>
      <c r="D6" s="884"/>
    </row>
    <row r="7" spans="1:4" ht="24.75" customHeight="1" thickBot="1">
      <c r="A7" s="360" t="s">
        <v>746</v>
      </c>
      <c r="B7" s="876"/>
      <c r="C7" s="877"/>
      <c r="D7" s="878"/>
    </row>
    <row r="8" spans="1:4" ht="24.75" customHeight="1" thickBot="1">
      <c r="A8" s="360" t="s">
        <v>747</v>
      </c>
      <c r="B8" s="876"/>
      <c r="C8" s="877"/>
      <c r="D8" s="878"/>
    </row>
    <row r="9" spans="1:4" ht="14.25" customHeight="1" thickBot="1">
      <c r="A9" s="204"/>
    </row>
    <row r="10" spans="1:4" ht="15" customHeight="1" thickBot="1">
      <c r="A10" s="359" t="s">
        <v>777</v>
      </c>
      <c r="B10" s="370">
        <f>'MCS calc and run costs '!D46</f>
        <v>1.0000000000000002</v>
      </c>
      <c r="C10" s="879" t="s">
        <v>785</v>
      </c>
      <c r="D10" s="880"/>
    </row>
    <row r="11" spans="1:4" ht="15" customHeight="1" thickBot="1">
      <c r="A11" s="360" t="s">
        <v>760</v>
      </c>
      <c r="B11" s="371">
        <f>'MCS calc and run costs '!D53</f>
        <v>0.96560846560846558</v>
      </c>
      <c r="C11" s="879" t="s">
        <v>801</v>
      </c>
      <c r="D11" s="880"/>
    </row>
    <row r="12" spans="1:4" ht="15.75" customHeight="1" thickBot="1">
      <c r="A12" s="360" t="s">
        <v>786</v>
      </c>
      <c r="B12" s="371">
        <f>1-'MCS calc and run costs '!D53</f>
        <v>3.4391534391534417E-2</v>
      </c>
      <c r="C12" s="879" t="s">
        <v>801</v>
      </c>
      <c r="D12" s="880"/>
    </row>
    <row r="13" spans="1:4" ht="15.75" thickBot="1">
      <c r="A13" s="205"/>
    </row>
    <row r="14" spans="1:4" ht="15.75" thickBot="1">
      <c r="A14" s="871" t="s">
        <v>748</v>
      </c>
      <c r="B14" s="872"/>
      <c r="C14" s="881">
        <f>'Data Entry Sheet'!I28</f>
        <v>50</v>
      </c>
      <c r="D14" s="874"/>
    </row>
    <row r="15" spans="1:4" ht="15.75" thickBot="1">
      <c r="A15" s="871" t="s">
        <v>749</v>
      </c>
      <c r="B15" s="872"/>
      <c r="C15" s="873" t="str">
        <f>'Data Entry Sheet'!I30</f>
        <v>***</v>
      </c>
      <c r="D15" s="874"/>
    </row>
    <row r="16" spans="1:4" ht="15.75" thickBot="1">
      <c r="A16" s="871" t="s">
        <v>903</v>
      </c>
      <c r="B16" s="872"/>
      <c r="C16" s="875">
        <f>'MCS Compliance Certificate'!E113</f>
        <v>3.32</v>
      </c>
      <c r="D16" s="874"/>
    </row>
    <row r="17" spans="1:6" ht="9" customHeight="1" thickBot="1">
      <c r="A17" s="559"/>
      <c r="B17" s="560"/>
    </row>
    <row r="18" spans="1:6" ht="43.5" customHeight="1" thickBot="1">
      <c r="A18" s="360" t="s">
        <v>70</v>
      </c>
      <c r="B18" s="583" t="s">
        <v>750</v>
      </c>
      <c r="C18" s="866" t="s">
        <v>751</v>
      </c>
      <c r="D18" s="868"/>
      <c r="E18" s="552" t="s">
        <v>1000</v>
      </c>
      <c r="F18" s="552" t="s">
        <v>1062</v>
      </c>
    </row>
    <row r="19" spans="1:6" ht="15.75" thickBot="1">
      <c r="A19" s="201" t="str">
        <f>'Heat Loss Calculator'!B7</f>
        <v>Kitchen</v>
      </c>
      <c r="B19" s="558">
        <f>'Heat Loss Calculator'!G13</f>
        <v>76.757713360323891</v>
      </c>
      <c r="C19" s="869" t="str">
        <f>'Heat Loss Calculator'!A25</f>
        <v>Radiators</v>
      </c>
      <c r="D19" s="870"/>
      <c r="E19" s="561" t="str">
        <f>IF(C19="UFH",'Heat Loss Calculator'!B25,"Not Applicable")</f>
        <v>Not Applicable</v>
      </c>
      <c r="F19" s="561" t="str">
        <f>IF(C19="UFH",'Heat Loss Calculator'!D25,"Not Applicable")</f>
        <v>Not Applicable</v>
      </c>
    </row>
    <row r="20" spans="1:6" ht="15.75" thickBot="1">
      <c r="A20" s="201" t="str">
        <f>'Heat Loss Calculator'!B39</f>
        <v>WC</v>
      </c>
      <c r="B20" s="558">
        <f>'Heat Loss Calculator'!G45</f>
        <v>88.763324357405153</v>
      </c>
      <c r="C20" s="869" t="str">
        <f>'Heat Loss Calculator'!A57</f>
        <v>Radiators</v>
      </c>
      <c r="D20" s="870"/>
      <c r="E20" s="561" t="str">
        <f>IF(C20="UFH",'Heat Loss Calculator'!B57,"Not Applicable")</f>
        <v>Not Applicable</v>
      </c>
      <c r="F20" s="561" t="str">
        <f>IF(C20="UFH",'Heat Loss Calculator'!D57,"Not Applicable")</f>
        <v>Not Applicable</v>
      </c>
    </row>
    <row r="21" spans="1:6" ht="15.75" customHeight="1" thickBot="1">
      <c r="A21" s="201" t="str">
        <f>'Heat Loss Calculator'!B71</f>
        <v>Lounge</v>
      </c>
      <c r="B21" s="558">
        <f>'Heat Loss Calculator'!G77</f>
        <v>93.647924641148322</v>
      </c>
      <c r="C21" s="869" t="str">
        <f>'Heat Loss Calculator'!A89</f>
        <v>Radiators</v>
      </c>
      <c r="D21" s="870"/>
      <c r="E21" s="561" t="str">
        <f>IF(C21="UFH",'Heat Loss Calculator'!B89,"Not Applicable")</f>
        <v>Not Applicable</v>
      </c>
      <c r="F21" s="561" t="str">
        <f>IF(C21="UFH",'Heat Loss Calculator'!D89,"Not Applicable")</f>
        <v>Not Applicable</v>
      </c>
    </row>
    <row r="22" spans="1:6" ht="15.75" customHeight="1" thickBot="1">
      <c r="A22" s="201" t="str">
        <f>'Heat Loss Calculator'!B103</f>
        <v>Dining Room</v>
      </c>
      <c r="B22" s="558">
        <f>'Heat Loss Calculator'!G109</f>
        <v>93.79133074162678</v>
      </c>
      <c r="C22" s="869" t="str">
        <f>'Heat Loss Calculator'!A121</f>
        <v>Radiators</v>
      </c>
      <c r="D22" s="870"/>
      <c r="E22" s="561" t="str">
        <f>IF(C22="UFH",'Heat Loss Calculator'!B121,"Not Applicable")</f>
        <v>Not Applicable</v>
      </c>
      <c r="F22" s="561" t="str">
        <f>IF(C22="UFH",'Heat Loss Calculator'!D121,"Not Applicable")</f>
        <v>Not Applicable</v>
      </c>
    </row>
    <row r="23" spans="1:6" ht="15.75" thickBot="1">
      <c r="A23" s="201" t="str">
        <f>'Heat Loss Calculator'!B135</f>
        <v>Landing</v>
      </c>
      <c r="B23" s="558">
        <f>'Heat Loss Calculator'!G141</f>
        <v>90.314086124401939</v>
      </c>
      <c r="C23" s="869" t="str">
        <f>'Heat Loss Calculator'!A153</f>
        <v>Radiators</v>
      </c>
      <c r="D23" s="870"/>
      <c r="E23" s="561" t="str">
        <f>IF(C23="UFH",'Heat Loss Calculator'!B153,"Not Applicable")</f>
        <v>Not Applicable</v>
      </c>
      <c r="F23" s="561" t="str">
        <f>IF(C23="UFH",'Heat Loss Calculator'!D153,"Not Applicable")</f>
        <v>Not Applicable</v>
      </c>
    </row>
    <row r="24" spans="1:6" ht="15.75" thickBot="1">
      <c r="A24" s="201" t="str">
        <f>'Heat Loss Calculator'!B167</f>
        <v>Bed 3</v>
      </c>
      <c r="B24" s="558">
        <f>'Heat Loss Calculator'!G173</f>
        <v>73.600347424711515</v>
      </c>
      <c r="C24" s="869" t="str">
        <f>'Heat Loss Calculator'!A185</f>
        <v>Radiators</v>
      </c>
      <c r="D24" s="870"/>
      <c r="E24" s="561" t="str">
        <f>IF(C24="UFH",'Heat Loss Calculator'!B185,"Not Applicable")</f>
        <v>Not Applicable</v>
      </c>
      <c r="F24" s="561" t="str">
        <f>IF(C24="UFH",'Heat Loss Calculator'!D185,"Not Applicable")</f>
        <v>Not Applicable</v>
      </c>
    </row>
    <row r="25" spans="1:6" ht="15.75" thickBot="1">
      <c r="A25" s="201" t="str">
        <f>'Heat Loss Calculator'!B199</f>
        <v>Bed 2</v>
      </c>
      <c r="B25" s="558">
        <f>'Heat Loss Calculator'!G205</f>
        <v>71.578748325358845</v>
      </c>
      <c r="C25" s="869" t="str">
        <f>'Heat Loss Calculator'!A217</f>
        <v>Radiators</v>
      </c>
      <c r="D25" s="870"/>
      <c r="E25" s="561" t="str">
        <f>IF(C25="UFH",'Heat Loss Calculator'!B217,"Not Applicable")</f>
        <v>Not Applicable</v>
      </c>
      <c r="F25" s="561" t="str">
        <f>IF(C25="UFH",'Heat Loss Calculator'!D217,"Not Applicable")</f>
        <v>Not Applicable</v>
      </c>
    </row>
    <row r="26" spans="1:6" ht="15.75" thickBot="1">
      <c r="A26" s="201" t="str">
        <f>'Heat Loss Calculator'!B231</f>
        <v>Bed 1</v>
      </c>
      <c r="B26" s="558">
        <f>'Heat Loss Calculator'!G237</f>
        <v>49.516854545454549</v>
      </c>
      <c r="C26" s="869" t="str">
        <f>'Heat Loss Calculator'!A249</f>
        <v>Radiators</v>
      </c>
      <c r="D26" s="870"/>
      <c r="E26" s="561" t="str">
        <f>IF(C26="UFH",'Heat Loss Calculator'!B249,"Not Applicable")</f>
        <v>Not Applicable</v>
      </c>
      <c r="F26" s="561" t="str">
        <f>IF(C26="UFH",'Heat Loss Calculator'!D249,"Not Applicable")</f>
        <v>Not Applicable</v>
      </c>
    </row>
    <row r="27" spans="1:6" ht="15.75" customHeight="1" thickBot="1">
      <c r="A27" s="201" t="str">
        <f>'Heat Loss Calculator'!B263</f>
        <v>En Suite</v>
      </c>
      <c r="B27" s="558">
        <f>'Heat Loss Calculator'!G269</f>
        <v>95.593486298390616</v>
      </c>
      <c r="C27" s="869" t="str">
        <f>'Heat Loss Calculator'!A281</f>
        <v>Radiators</v>
      </c>
      <c r="D27" s="870"/>
      <c r="E27" s="561" t="str">
        <f>IF(C27="UFH",'Heat Loss Calculator'!B281,"Not Applicable")</f>
        <v>Not Applicable</v>
      </c>
      <c r="F27" s="561" t="str">
        <f>IF(C27="UFH",'Heat Loss Calculator'!D281,"Not Applicable")</f>
        <v>Not Applicable</v>
      </c>
    </row>
    <row r="28" spans="1:6" ht="15.75" customHeight="1" thickBot="1">
      <c r="A28" s="201" t="str">
        <f>'Heat Loss Calculator'!B295</f>
        <v>Room 10</v>
      </c>
      <c r="B28" s="558" t="e">
        <f>'Heat Loss Calculator'!G301</f>
        <v>#DIV/0!</v>
      </c>
      <c r="C28" s="869" t="str">
        <f>'Heat Loss Calculator'!A313</f>
        <v>Radiators</v>
      </c>
      <c r="D28" s="870"/>
      <c r="E28" s="561" t="str">
        <f>IF(C28="UFH",'Heat Loss Calculator'!B313,"Not Applicable")</f>
        <v>Not Applicable</v>
      </c>
      <c r="F28" s="561" t="str">
        <f>IF(C28="UFH",'Heat Loss Calculator'!D313,"Not Applicable")</f>
        <v>Not Applicable</v>
      </c>
    </row>
    <row r="29" spans="1:6" ht="15.75" thickBot="1">
      <c r="A29" s="201" t="str">
        <f>'Heat Loss Calculator'!B327</f>
        <v>Room 11</v>
      </c>
      <c r="B29" s="558" t="e">
        <f>'Heat Loss Calculator'!G333</f>
        <v>#DIV/0!</v>
      </c>
      <c r="C29" s="869" t="str">
        <f>'Heat Loss Calculator'!A345</f>
        <v>Radiators</v>
      </c>
      <c r="D29" s="870"/>
      <c r="E29" s="561" t="str">
        <f>IF(C29="UFH",'Heat Loss Calculator'!B345,"Not Applicable")</f>
        <v>Not Applicable</v>
      </c>
      <c r="F29" s="561" t="str">
        <f>IF(C29="UFH",'Heat Loss Calculator'!D345,"Not Applicable")</f>
        <v>Not Applicable</v>
      </c>
    </row>
    <row r="30" spans="1:6" ht="15.75" thickBot="1">
      <c r="A30" s="201" t="str">
        <f>'Heat Loss Calculator'!B359</f>
        <v>Room 12</v>
      </c>
      <c r="B30" s="558" t="e">
        <f>'Heat Loss Calculator'!G365</f>
        <v>#DIV/0!</v>
      </c>
      <c r="C30" s="869" t="str">
        <f>'Heat Loss Calculator'!A377</f>
        <v>Radiators</v>
      </c>
      <c r="D30" s="870"/>
      <c r="E30" s="561" t="str">
        <f>IF(C30="UFH",'Heat Loss Calculator'!B377,"Not Applicable")</f>
        <v>Not Applicable</v>
      </c>
      <c r="F30" s="561" t="str">
        <f>IF(C30="UFH",'Heat Loss Calculator'!D377,"Not Applicable")</f>
        <v>Not Applicable</v>
      </c>
    </row>
    <row r="31" spans="1:6" ht="15.75" thickBot="1">
      <c r="A31" s="201" t="str">
        <f>'Heat Loss Calculator'!B391</f>
        <v>Room 13</v>
      </c>
      <c r="B31" s="558" t="e">
        <f>'Heat Loss Calculator'!G397</f>
        <v>#DIV/0!</v>
      </c>
      <c r="C31" s="869" t="str">
        <f>'Heat Loss Calculator'!A409</f>
        <v>Radiators</v>
      </c>
      <c r="D31" s="870"/>
      <c r="E31" s="561" t="str">
        <f>IF(C31="UFH",'Heat Loss Calculator'!B409,"Not Applicable")</f>
        <v>Not Applicable</v>
      </c>
      <c r="F31" s="561" t="str">
        <f>IF(C31="UFH",'Heat Loss Calculator'!D409,"Not Applicable")</f>
        <v>Not Applicable</v>
      </c>
    </row>
    <row r="32" spans="1:6" ht="15.75" thickBot="1">
      <c r="A32" s="201" t="str">
        <f>'Heat Loss Calculator'!B423</f>
        <v>Room 14</v>
      </c>
      <c r="B32" s="558" t="e">
        <f>'Heat Loss Calculator'!G429</f>
        <v>#DIV/0!</v>
      </c>
      <c r="C32" s="869" t="str">
        <f>'Heat Loss Calculator'!A441</f>
        <v>Radiators</v>
      </c>
      <c r="D32" s="870"/>
      <c r="E32" s="561" t="str">
        <f>IF(C32="UFH",'Heat Loss Calculator'!B441,"Not Applicable")</f>
        <v>Not Applicable</v>
      </c>
      <c r="F32" s="561" t="str">
        <f>IF(C32="UFH",'Heat Loss Calculator'!D441,"Not Applicable")</f>
        <v>Not Applicable</v>
      </c>
    </row>
    <row r="33" spans="1:6" ht="15.75" thickBot="1">
      <c r="A33" s="201" t="str">
        <f>'Heat Loss Calculator'!B455</f>
        <v>Room 15</v>
      </c>
      <c r="B33" s="558" t="e">
        <f>'Heat Loss Calculator'!G461</f>
        <v>#DIV/0!</v>
      </c>
      <c r="C33" s="869" t="str">
        <f>'Heat Loss Calculator'!A473</f>
        <v>Radiators</v>
      </c>
      <c r="D33" s="870"/>
      <c r="E33" s="561" t="str">
        <f>IF(C33="UFH",'Heat Loss Calculator'!B473,"Not Applicable")</f>
        <v>Not Applicable</v>
      </c>
      <c r="F33" s="561" t="str">
        <f>IF(C33="UFH",'Heat Loss Calculator'!D473,"Not Applicable")</f>
        <v>Not Applicable</v>
      </c>
    </row>
    <row r="34" spans="1:6" ht="15.75" thickBot="1">
      <c r="A34" s="201" t="str">
        <f>'Heat Loss Calculator'!B487</f>
        <v>Room 16</v>
      </c>
      <c r="B34" s="558" t="e">
        <f>'Heat Loss Calculator'!G493</f>
        <v>#DIV/0!</v>
      </c>
      <c r="C34" s="869" t="str">
        <f>'Heat Loss Calculator'!A505</f>
        <v>Radiators</v>
      </c>
      <c r="D34" s="870"/>
      <c r="E34" s="561" t="str">
        <f>IF(C34="UFH",'Heat Loss Calculator'!B505,"Not Applicable")</f>
        <v>Not Applicable</v>
      </c>
      <c r="F34" s="561" t="str">
        <f>IF(C34="UFH",'Heat Loss Calculator'!D505,"Not Applicable")</f>
        <v>Not Applicable</v>
      </c>
    </row>
    <row r="35" spans="1:6" ht="15.75" thickBot="1">
      <c r="A35" s="201" t="str">
        <f>'Heat Loss Calculator'!B519</f>
        <v>Room 17</v>
      </c>
      <c r="B35" s="558" t="e">
        <f>'Heat Loss Calculator'!G525</f>
        <v>#DIV/0!</v>
      </c>
      <c r="C35" s="869" t="str">
        <f>'Heat Loss Calculator'!A537</f>
        <v>Radiators</v>
      </c>
      <c r="D35" s="870"/>
      <c r="E35" s="561" t="str">
        <f>IF(C35="UFH",'Heat Loss Calculator'!B537,"Not Applicable")</f>
        <v>Not Applicable</v>
      </c>
      <c r="F35" s="561" t="str">
        <f>IF(C35="UFH",'Heat Loss Calculator'!D537,"Not Applicable")</f>
        <v>Not Applicable</v>
      </c>
    </row>
    <row r="36" spans="1:6" ht="15.75" thickBot="1">
      <c r="A36" s="201" t="str">
        <f>'Heat Loss Calculator'!B551</f>
        <v>Room 18</v>
      </c>
      <c r="B36" s="558" t="e">
        <f>'Heat Loss Calculator'!G557</f>
        <v>#DIV/0!</v>
      </c>
      <c r="C36" s="869" t="str">
        <f>'Heat Loss Calculator'!A569</f>
        <v>Radiators</v>
      </c>
      <c r="D36" s="870"/>
      <c r="E36" s="561" t="str">
        <f>IF(C36="UFH",'Heat Loss Calculator'!B569,"Not Applicable")</f>
        <v>Not Applicable</v>
      </c>
      <c r="F36" s="561" t="str">
        <f>IF(C36="UFH",'Heat Loss Calculator'!D569,"Not Applicable")</f>
        <v>Not Applicable</v>
      </c>
    </row>
    <row r="37" spans="1:6" ht="15.75" thickBot="1">
      <c r="A37" s="201" t="str">
        <f>'Heat Loss Calculator'!B583</f>
        <v>Room 19</v>
      </c>
      <c r="B37" s="558" t="e">
        <f>'Heat Loss Calculator'!G589</f>
        <v>#DIV/0!</v>
      </c>
      <c r="C37" s="869" t="str">
        <f>'Heat Loss Calculator'!A601</f>
        <v>Radiators</v>
      </c>
      <c r="D37" s="870"/>
      <c r="E37" s="561" t="str">
        <f>IF(C37="UFH",'Heat Loss Calculator'!B601,"Not Applicable")</f>
        <v>Not Applicable</v>
      </c>
      <c r="F37" s="561" t="str">
        <f>IF(C37="UFH",'Heat Loss Calculator'!D601,"Not Applicable")</f>
        <v>Not Applicable</v>
      </c>
    </row>
    <row r="38" spans="1:6" ht="15.75" thickBot="1">
      <c r="A38" s="201" t="str">
        <f>'Heat Loss Calculator'!B615</f>
        <v>Room 20</v>
      </c>
      <c r="B38" s="558" t="e">
        <f>'Heat Loss Calculator'!G621</f>
        <v>#DIV/0!</v>
      </c>
      <c r="C38" s="869" t="str">
        <f>'Heat Loss Calculator'!A633</f>
        <v>Radiators</v>
      </c>
      <c r="D38" s="870"/>
      <c r="E38" s="561" t="str">
        <f>IF(C38="UFH",'Heat Loss Calculator'!B633,"Not Applicable")</f>
        <v>Not Applicable</v>
      </c>
      <c r="F38" s="561" t="str">
        <f>IF(C38="UFH",'Heat Loss Calculator'!D633,"Not Applicable")</f>
        <v>Not Applicable</v>
      </c>
    </row>
    <row r="39" spans="1:6" ht="15.75" thickBot="1">
      <c r="A39" s="201" t="str">
        <f>'Heat Loss Calculator'!B647</f>
        <v>Room 21</v>
      </c>
      <c r="B39" s="558" t="e">
        <f>'Heat Loss Calculator'!G653</f>
        <v>#DIV/0!</v>
      </c>
      <c r="C39" s="869" t="str">
        <f>'Heat Loss Calculator'!A665</f>
        <v>Radiators</v>
      </c>
      <c r="D39" s="870"/>
      <c r="E39" s="561" t="str">
        <f>IF(C39="UFH",'Heat Loss Calculator'!B665,"Not Applicable")</f>
        <v>Not Applicable</v>
      </c>
      <c r="F39" s="561" t="str">
        <f>IF(C39="UFH",'Heat Loss Calculator'!D665,"Not Applicable")</f>
        <v>Not Applicable</v>
      </c>
    </row>
    <row r="40" spans="1:6" ht="15.75" thickBot="1">
      <c r="A40" s="201" t="str">
        <f>'Heat Loss Calculator'!B679</f>
        <v>Room 22</v>
      </c>
      <c r="B40" s="558" t="e">
        <f>'Heat Loss Calculator'!G685</f>
        <v>#DIV/0!</v>
      </c>
      <c r="C40" s="869" t="str">
        <f>'Heat Loss Calculator'!A697</f>
        <v>Radiators</v>
      </c>
      <c r="D40" s="870"/>
      <c r="E40" s="561" t="str">
        <f>IF(C40="UFH",'Heat Loss Calculator'!B697,"Not Applicable")</f>
        <v>Not Applicable</v>
      </c>
      <c r="F40" s="561" t="str">
        <f>IF(C40="UFH",'Heat Loss Calculator'!D697,"Not Applicable")</f>
        <v>Not Applicable</v>
      </c>
    </row>
    <row r="41" spans="1:6" ht="15.75" thickBot="1">
      <c r="A41" s="201" t="str">
        <f>'Heat Loss Calculator'!B711</f>
        <v>Room 23</v>
      </c>
      <c r="B41" s="558" t="e">
        <f>'Heat Loss Calculator'!G717</f>
        <v>#DIV/0!</v>
      </c>
      <c r="C41" s="869" t="str">
        <f>'Heat Loss Calculator'!A729</f>
        <v>Radiators</v>
      </c>
      <c r="D41" s="870"/>
      <c r="E41" s="561" t="str">
        <f>IF(C41="UFH",'Heat Loss Calculator'!B729,"Not Applicable")</f>
        <v>Not Applicable</v>
      </c>
      <c r="F41" s="561" t="str">
        <f>IF(C41="UFH",'Heat Loss Calculator'!D729,"Not Applicable")</f>
        <v>Not Applicable</v>
      </c>
    </row>
    <row r="42" spans="1:6" ht="15.75" thickBot="1">
      <c r="A42" s="201" t="str">
        <f>'Heat Loss Calculator'!B743</f>
        <v>Room 24</v>
      </c>
      <c r="B42" s="558" t="e">
        <f>'Heat Loss Calculator'!G749</f>
        <v>#DIV/0!</v>
      </c>
      <c r="C42" s="869" t="str">
        <f>'Heat Loss Calculator'!A761</f>
        <v>Radiators</v>
      </c>
      <c r="D42" s="870"/>
      <c r="E42" s="561" t="str">
        <f>IF(C42="UFH",'Heat Loss Calculator'!B761,"Not Applicable")</f>
        <v>Not Applicable</v>
      </c>
      <c r="F42" s="561" t="str">
        <f>IF(C42="UFH",'Heat Loss Calculator'!D761,"Not Applicable")</f>
        <v>Not Applicable</v>
      </c>
    </row>
    <row r="43" spans="1:6" ht="15.75" thickBot="1">
      <c r="A43" s="201" t="str">
        <f>'Heat Loss Calculator'!B775</f>
        <v>Room 25</v>
      </c>
      <c r="B43" s="558" t="e">
        <f>'Heat Loss Calculator'!G781</f>
        <v>#DIV/0!</v>
      </c>
      <c r="C43" s="869" t="str">
        <f>'Heat Loss Calculator'!A793</f>
        <v>Radiators</v>
      </c>
      <c r="D43" s="870"/>
      <c r="E43" s="561" t="str">
        <f>IF(C43="UFH",'Heat Loss Calculator'!B793,"Not Applicable")</f>
        <v>Not Applicable</v>
      </c>
      <c r="F43" s="561" t="str">
        <f>IF(C43="UFH",'Heat Loss Calculator'!D793,"Not Applicable")</f>
        <v>Not Applicable</v>
      </c>
    </row>
    <row r="44" spans="1:6" ht="15.75" thickBot="1">
      <c r="A44" s="201" t="str">
        <f>'Heat Loss Calculator'!B807</f>
        <v>Room 26</v>
      </c>
      <c r="B44" s="558" t="e">
        <f>'Heat Loss Calculator'!G813</f>
        <v>#DIV/0!</v>
      </c>
      <c r="C44" s="869" t="str">
        <f>'Heat Loss Calculator'!A825</f>
        <v>Radiators</v>
      </c>
      <c r="D44" s="870"/>
      <c r="E44" s="561" t="str">
        <f>IF(C44="UFH",'Heat Loss Calculator'!B825,"Not Applicable")</f>
        <v>Not Applicable</v>
      </c>
      <c r="F44" s="561" t="str">
        <f>IF(C44="UFH",'Heat Loss Calculator'!D825,"Not Applicable")</f>
        <v>Not Applicable</v>
      </c>
    </row>
    <row r="45" spans="1:6" ht="15.75" thickBot="1">
      <c r="A45" s="201" t="str">
        <f>'Heat Loss Calculator'!B839</f>
        <v>Room 27</v>
      </c>
      <c r="B45" s="558" t="e">
        <f>'Heat Loss Calculator'!G845</f>
        <v>#DIV/0!</v>
      </c>
      <c r="C45" s="869" t="str">
        <f>'Heat Loss Calculator'!A857</f>
        <v>Radiators</v>
      </c>
      <c r="D45" s="870"/>
      <c r="E45" s="561" t="str">
        <f>IF(C45="UFH",'Heat Loss Calculator'!B857,"Not Applicable")</f>
        <v>Not Applicable</v>
      </c>
      <c r="F45" s="561" t="str">
        <f>IF(C45="UFH",'Heat Loss Calculator'!D857,"Not Applicable")</f>
        <v>Not Applicable</v>
      </c>
    </row>
    <row r="46" spans="1:6" ht="15.75" thickBot="1">
      <c r="A46" s="201" t="str">
        <f>'Heat Loss Calculator'!B871</f>
        <v>Room 28</v>
      </c>
      <c r="B46" s="558" t="e">
        <f>'Heat Loss Calculator'!G877</f>
        <v>#DIV/0!</v>
      </c>
      <c r="C46" s="869" t="str">
        <f>'Heat Loss Calculator'!A889</f>
        <v>Radiators</v>
      </c>
      <c r="D46" s="870"/>
      <c r="E46" s="561" t="str">
        <f>IF(C46="UFH",'Heat Loss Calculator'!B889,"Not Applicable")</f>
        <v>Not Applicable</v>
      </c>
      <c r="F46" s="561" t="str">
        <f>IF(C46="UFH",'Heat Loss Calculator'!D889,"Not Applicable")</f>
        <v>Not Applicable</v>
      </c>
    </row>
    <row r="47" spans="1:6" ht="15.75" thickBot="1">
      <c r="A47" s="201" t="str">
        <f>'Heat Loss Calculator'!B903</f>
        <v>Room 29</v>
      </c>
      <c r="B47" s="558" t="e">
        <f>'Heat Loss Calculator'!G909</f>
        <v>#DIV/0!</v>
      </c>
      <c r="C47" s="869" t="str">
        <f>'Heat Loss Calculator'!A921</f>
        <v>Radiators</v>
      </c>
      <c r="D47" s="870"/>
      <c r="E47" s="561" t="str">
        <f>IF(C47="UFH",'Heat Loss Calculator'!B921,"Not Applicable")</f>
        <v>Not Applicable</v>
      </c>
      <c r="F47" s="561" t="str">
        <f>IF(C47="UFH",'Heat Loss Calculator'!D921,"Not Applicable")</f>
        <v>Not Applicable</v>
      </c>
    </row>
    <row r="48" spans="1:6" ht="15.75" thickBot="1">
      <c r="A48" s="201" t="str">
        <f>'Heat Loss Calculator'!B935</f>
        <v>Room 30</v>
      </c>
      <c r="B48" s="558" t="e">
        <f>'Heat Loss Calculator'!G941</f>
        <v>#DIV/0!</v>
      </c>
      <c r="C48" s="869" t="str">
        <f>'Heat Loss Calculator'!A953</f>
        <v>Radiators</v>
      </c>
      <c r="D48" s="870"/>
      <c r="E48" s="561" t="str">
        <f>IF(C48="UFH",'Heat Loss Calculator'!B953,"Not Applicable")</f>
        <v>Not Applicable</v>
      </c>
      <c r="F48" s="561" t="str">
        <f>IF(C48="UFH",'Heat Loss Calculator'!D953,"Not Applicable")</f>
        <v>Not Applicable</v>
      </c>
    </row>
    <row r="49" spans="1:6" ht="15.75" thickBot="1">
      <c r="A49" s="201" t="str">
        <f>'Heat Loss Calculator'!B967</f>
        <v>Room 31</v>
      </c>
      <c r="B49" s="558" t="e">
        <f>'Heat Loss Calculator'!G973</f>
        <v>#DIV/0!</v>
      </c>
      <c r="C49" s="869" t="str">
        <f>'Heat Loss Calculator'!A985</f>
        <v>Radiators</v>
      </c>
      <c r="D49" s="870"/>
      <c r="E49" s="561" t="str">
        <f>IF(C49="UFH",'Heat Loss Calculator'!B985,"Not Applicable")</f>
        <v>Not Applicable</v>
      </c>
      <c r="F49" s="561" t="str">
        <f>IF(C49="UFH",'Heat Loss Calculator'!D985,"Not Applicable")</f>
        <v>Not Applicable</v>
      </c>
    </row>
    <row r="50" spans="1:6" ht="15.75" thickBot="1">
      <c r="A50" s="201" t="str">
        <f>'Heat Loss Calculator'!B999</f>
        <v>Room 32</v>
      </c>
      <c r="B50" s="558" t="e">
        <f>'Heat Loss Calculator'!G1005</f>
        <v>#DIV/0!</v>
      </c>
      <c r="C50" s="869" t="str">
        <f>'Heat Loss Calculator'!A1017</f>
        <v>Radiators</v>
      </c>
      <c r="D50" s="870"/>
      <c r="E50" s="561" t="str">
        <f>IF(C50="UFH",'Heat Loss Calculator'!B1017,"Not Applicable")</f>
        <v>Not Applicable</v>
      </c>
      <c r="F50" s="561" t="str">
        <f>IF(C50="UFH",'Heat Loss Calculator'!D1017,"Not Applicable")</f>
        <v>Not Applicable</v>
      </c>
    </row>
    <row r="51" spans="1:6" ht="15.75" thickBot="1">
      <c r="A51" s="201" t="str">
        <f>'Heat Loss Calculator'!B1031</f>
        <v>Room 33</v>
      </c>
      <c r="B51" s="558" t="e">
        <f>'Heat Loss Calculator'!G1037</f>
        <v>#DIV/0!</v>
      </c>
      <c r="C51" s="869" t="str">
        <f>'Heat Loss Calculator'!A1049</f>
        <v>Radiators</v>
      </c>
      <c r="D51" s="870"/>
      <c r="E51" s="561" t="str">
        <f>IF(C51="UFH",'Heat Loss Calculator'!B1049,"Not Applicable")</f>
        <v>Not Applicable</v>
      </c>
      <c r="F51" s="561" t="str">
        <f>IF(C51="UFH",'Heat Loss Calculator'!D1049,"Not Applicable")</f>
        <v>Not Applicable</v>
      </c>
    </row>
    <row r="52" spans="1:6" ht="15.75" thickBot="1">
      <c r="A52" s="201" t="str">
        <f>'Heat Loss Calculator'!B1063</f>
        <v>Room 34</v>
      </c>
      <c r="B52" s="558" t="e">
        <f>'Heat Loss Calculator'!G1069</f>
        <v>#DIV/0!</v>
      </c>
      <c r="C52" s="869" t="str">
        <f>'Heat Loss Calculator'!A1081</f>
        <v>Radiators</v>
      </c>
      <c r="D52" s="870"/>
      <c r="E52" s="561" t="str">
        <f>IF(C52="UFH",'Heat Loss Calculator'!B1081,"Not Applicable")</f>
        <v>Not Applicable</v>
      </c>
      <c r="F52" s="561" t="str">
        <f>IF(C52="UFH",'Heat Loss Calculator'!D1081,"Not Applicable")</f>
        <v>Not Applicable</v>
      </c>
    </row>
    <row r="53" spans="1:6" ht="15.75" thickBot="1">
      <c r="A53" s="201" t="str">
        <f>'Heat Loss Calculator'!B1095</f>
        <v>Room 35</v>
      </c>
      <c r="B53" s="558" t="e">
        <f>'Heat Loss Calculator'!G1101</f>
        <v>#DIV/0!</v>
      </c>
      <c r="C53" s="869" t="str">
        <f>'Heat Loss Calculator'!A1113</f>
        <v>Radiators</v>
      </c>
      <c r="D53" s="870"/>
      <c r="E53" s="561" t="str">
        <f>IF(C53="UFH",'Heat Loss Calculator'!B1113,"Not Applicable")</f>
        <v>Not Applicable</v>
      </c>
      <c r="F53" s="561" t="str">
        <f>IF(C53="UFH",'Heat Loss Calculator'!D1113,"Not Applicable")</f>
        <v>Not Applicable</v>
      </c>
    </row>
    <row r="54" spans="1:6" ht="15.75" thickBot="1">
      <c r="A54" s="201" t="str">
        <f>'Heat Loss Calculator'!B1127</f>
        <v>Room 36</v>
      </c>
      <c r="B54" s="558" t="e">
        <f>'Heat Loss Calculator'!G1133</f>
        <v>#DIV/0!</v>
      </c>
      <c r="C54" s="869" t="str">
        <f>'Heat Loss Calculator'!A1145</f>
        <v>Radiators</v>
      </c>
      <c r="D54" s="870"/>
      <c r="E54" s="561" t="str">
        <f>IF(C54="UFH",'Heat Loss Calculator'!B1145,"Not Applicable")</f>
        <v>Not Applicable</v>
      </c>
      <c r="F54" s="561" t="str">
        <f>IF(C54="UFH",'Heat Loss Calculator'!D1145,"Not Applicable")</f>
        <v>Not Applicable</v>
      </c>
    </row>
    <row r="55" spans="1:6" ht="15.75" thickBot="1">
      <c r="A55" s="201" t="str">
        <f>'Heat Loss Calculator'!B1159</f>
        <v>Room 37</v>
      </c>
      <c r="B55" s="558" t="e">
        <f>'Heat Loss Calculator'!G1165</f>
        <v>#DIV/0!</v>
      </c>
      <c r="C55" s="869" t="str">
        <f>'Heat Loss Calculator'!A1177</f>
        <v>Radiators</v>
      </c>
      <c r="D55" s="870"/>
      <c r="E55" s="561" t="str">
        <f>IF(C55="UFH",'Heat Loss Calculator'!B1177,"Not Applicable")</f>
        <v>Not Applicable</v>
      </c>
      <c r="F55" s="561" t="str">
        <f>IF(C55="UFH",'Heat Loss Calculator'!D1177,"Not Applicable")</f>
        <v>Not Applicable</v>
      </c>
    </row>
    <row r="56" spans="1:6" ht="15.75" thickBot="1">
      <c r="A56" s="201" t="str">
        <f>'Heat Loss Calculator'!B1191</f>
        <v>Room 38</v>
      </c>
      <c r="B56" s="558" t="e">
        <f>'Heat Loss Calculator'!G1197</f>
        <v>#DIV/0!</v>
      </c>
      <c r="C56" s="869" t="str">
        <f>'Heat Loss Calculator'!A1209</f>
        <v>Radiators</v>
      </c>
      <c r="D56" s="870"/>
      <c r="E56" s="561" t="str">
        <f>IF(C56="UFH",'Heat Loss Calculator'!B1209,"Not Applicable")</f>
        <v>Not Applicable</v>
      </c>
      <c r="F56" s="561" t="str">
        <f>IF(C56="UFH",'Heat Loss Calculator'!D1209,"Not Applicable")</f>
        <v>Not Applicable</v>
      </c>
    </row>
    <row r="59" spans="1:6" ht="15.75" thickBot="1">
      <c r="A59" s="206"/>
      <c r="B59" s="200"/>
      <c r="C59" s="200"/>
      <c r="D59" s="200"/>
    </row>
    <row r="60" spans="1:6" ht="15.75" customHeight="1" thickBot="1">
      <c r="A60" s="864" t="s">
        <v>787</v>
      </c>
      <c r="B60" s="865"/>
      <c r="C60" s="361"/>
    </row>
    <row r="61" spans="1:6" ht="15.75" thickBot="1">
      <c r="A61" s="362" t="s">
        <v>790</v>
      </c>
      <c r="B61" s="372">
        <f>'MCS calc and run costs '!B20</f>
        <v>12527.81922941815</v>
      </c>
      <c r="C61" s="373" t="s">
        <v>752</v>
      </c>
    </row>
    <row r="62" spans="1:6" ht="15.75" thickBot="1">
      <c r="A62" s="362" t="s">
        <v>753</v>
      </c>
      <c r="B62" s="374">
        <f>'MCS calc and run costs '!M8*100</f>
        <v>7.6300000000000008</v>
      </c>
      <c r="C62" s="373" t="s">
        <v>754</v>
      </c>
    </row>
    <row r="63" spans="1:6" ht="15.75" thickBot="1">
      <c r="A63" s="362" t="s">
        <v>795</v>
      </c>
      <c r="B63" s="375">
        <f>(B61*B62)/100</f>
        <v>955.87260720460483</v>
      </c>
      <c r="C63" s="373" t="s">
        <v>778</v>
      </c>
    </row>
    <row r="64" spans="1:6">
      <c r="C64" s="207"/>
    </row>
    <row r="65" spans="1:5" ht="15.75" thickBot="1">
      <c r="A65" s="205" t="s">
        <v>761</v>
      </c>
      <c r="C65" s="207"/>
    </row>
    <row r="66" spans="1:5" ht="15.75" thickBot="1">
      <c r="A66" s="359" t="s">
        <v>796</v>
      </c>
      <c r="B66" s="376">
        <f>'MCS calc and run costs '!D8</f>
        <v>17927.741311063903</v>
      </c>
      <c r="C66" s="373" t="s">
        <v>779</v>
      </c>
    </row>
    <row r="67" spans="1:5" ht="15.75" thickBot="1">
      <c r="A67" s="359" t="s">
        <v>780</v>
      </c>
      <c r="B67" s="377">
        <f>'MCS calc and run costs '!D11</f>
        <v>0.15</v>
      </c>
      <c r="C67" s="373" t="s">
        <v>781</v>
      </c>
    </row>
    <row r="68" spans="1:5" ht="15.75" thickBot="1">
      <c r="A68" s="360" t="s">
        <v>755</v>
      </c>
      <c r="B68" s="378">
        <f>'MCS calc and run costs '!D48*B67</f>
        <v>679.78299096172248</v>
      </c>
      <c r="C68" s="373" t="s">
        <v>778</v>
      </c>
    </row>
    <row r="69" spans="1:5" ht="15.75" thickBot="1">
      <c r="A69" s="360" t="s">
        <v>757</v>
      </c>
      <c r="B69" s="378">
        <f>('MCS calc and run costs '!D50/2.5)*B67</f>
        <v>179.07119999999995</v>
      </c>
      <c r="C69" s="373" t="s">
        <v>778</v>
      </c>
    </row>
    <row r="70" spans="1:5" ht="15.75" thickBot="1">
      <c r="A70" s="360" t="s">
        <v>797</v>
      </c>
      <c r="B70" s="379">
        <f>'MCS calc and run costs '!D55*B67</f>
        <v>15.396333333333329</v>
      </c>
      <c r="C70" s="373" t="s">
        <v>778</v>
      </c>
    </row>
    <row r="71" spans="1:5" ht="15.75" thickBot="1">
      <c r="A71" s="359" t="s">
        <v>798</v>
      </c>
      <c r="B71" s="380">
        <f>B70+B69+B68</f>
        <v>874.25052429505581</v>
      </c>
      <c r="C71" s="373" t="s">
        <v>778</v>
      </c>
    </row>
    <row r="72" spans="1:5" ht="15.75" thickBot="1">
      <c r="A72" s="205" t="s">
        <v>782</v>
      </c>
    </row>
    <row r="73" spans="1:5" ht="15.75" thickBot="1">
      <c r="A73" s="363"/>
      <c r="B73" s="366" t="s">
        <v>791</v>
      </c>
      <c r="C73" s="381" t="s">
        <v>762</v>
      </c>
      <c r="D73" s="382">
        <f>'MCS calc and run costs '!B8</f>
        <v>18030.383533286124</v>
      </c>
    </row>
    <row r="74" spans="1:5" ht="15.75" thickBot="1">
      <c r="A74" s="364" t="s">
        <v>763</v>
      </c>
      <c r="B74" s="365" t="s">
        <v>764</v>
      </c>
      <c r="C74" s="383" t="s">
        <v>765</v>
      </c>
      <c r="D74" s="384">
        <f>'MCS calc and run costs '!B11</f>
        <v>1365.9381464610701</v>
      </c>
    </row>
    <row r="75" spans="1:5" ht="23.25" customHeight="1" thickBot="1">
      <c r="A75" s="866" t="s">
        <v>766</v>
      </c>
      <c r="B75" s="867"/>
      <c r="C75" s="867"/>
      <c r="D75" s="868"/>
    </row>
    <row r="76" spans="1:5" ht="15.75" thickBot="1">
      <c r="A76" s="360" t="s">
        <v>767</v>
      </c>
      <c r="B76" s="365" t="s">
        <v>792</v>
      </c>
      <c r="C76" s="383" t="s">
        <v>765</v>
      </c>
      <c r="D76" s="384">
        <f>'MCS calc and run costs '!B13</f>
        <v>874.25052429505581</v>
      </c>
    </row>
    <row r="77" spans="1:5" ht="15.75" thickBot="1">
      <c r="A77" s="359" t="s">
        <v>53</v>
      </c>
      <c r="B77" s="367" t="s">
        <v>793</v>
      </c>
      <c r="C77" s="373" t="s">
        <v>765</v>
      </c>
      <c r="D77" s="385">
        <f>D74-D76</f>
        <v>491.68762216601431</v>
      </c>
    </row>
    <row r="78" spans="1:5" ht="15.75" thickBot="1">
      <c r="A78" s="360" t="s">
        <v>768</v>
      </c>
      <c r="B78" s="365" t="s">
        <v>794</v>
      </c>
      <c r="C78" s="383" t="s">
        <v>762</v>
      </c>
      <c r="D78" s="386">
        <f>'MCS calc and run costs '!D8</f>
        <v>17927.741311063903</v>
      </c>
    </row>
    <row r="79" spans="1:5" ht="15.75" thickBot="1">
      <c r="A79" s="360" t="s">
        <v>769</v>
      </c>
      <c r="B79" s="368" t="s">
        <v>783</v>
      </c>
      <c r="C79" s="383" t="s">
        <v>765</v>
      </c>
      <c r="D79" s="387">
        <f>('MCS calc and run costs '!B33+'MCS calc and run costs '!D33)/2</f>
        <v>1118.1078662255698</v>
      </c>
      <c r="E79" t="s">
        <v>1085</v>
      </c>
    </row>
    <row r="80" spans="1:5" ht="15.75" thickBot="1">
      <c r="A80" s="360" t="s">
        <v>770</v>
      </c>
      <c r="B80" s="368" t="s">
        <v>771</v>
      </c>
      <c r="C80" s="383" t="s">
        <v>765</v>
      </c>
      <c r="D80" s="384">
        <f>D77+D79</f>
        <v>1609.7954883915841</v>
      </c>
    </row>
    <row r="81" spans="1:4" ht="15.75" thickBot="1">
      <c r="A81" s="360" t="s">
        <v>772</v>
      </c>
      <c r="B81" s="365" t="s">
        <v>773</v>
      </c>
      <c r="C81" s="391" t="s">
        <v>774</v>
      </c>
      <c r="D81" s="594" t="e">
        <f>equipment!#REF!*1.2</f>
        <v>#REF!</v>
      </c>
    </row>
    <row r="82" spans="1:4" ht="15.75" thickBot="1">
      <c r="A82" s="360" t="s">
        <v>788</v>
      </c>
      <c r="B82" s="366" t="s">
        <v>776</v>
      </c>
      <c r="C82" s="383" t="s">
        <v>756</v>
      </c>
      <c r="D82" s="387">
        <f>7*D80</f>
        <v>11268.568418741088</v>
      </c>
    </row>
    <row r="83" spans="1:4" ht="26.25" thickBot="1">
      <c r="A83" s="359" t="s">
        <v>784</v>
      </c>
      <c r="B83" s="367" t="s">
        <v>775</v>
      </c>
      <c r="C83" s="381" t="s">
        <v>789</v>
      </c>
      <c r="D83" s="388" t="e">
        <f>D81/D80</f>
        <v>#REF!</v>
      </c>
    </row>
    <row r="84" spans="1:4" ht="15.75" thickBot="1">
      <c r="A84" s="203"/>
      <c r="C84" s="207"/>
    </row>
    <row r="85" spans="1:4" ht="15.75" thickBot="1">
      <c r="A85" s="369" t="s">
        <v>262</v>
      </c>
      <c r="B85" s="389">
        <f>equipment!C61</f>
        <v>73.106995884773639</v>
      </c>
      <c r="C85" s="373" t="s">
        <v>239</v>
      </c>
    </row>
    <row r="86" spans="1:4" ht="15.75" thickBot="1">
      <c r="A86" s="369" t="s">
        <v>261</v>
      </c>
      <c r="B86" s="390" t="str">
        <f>equipment!E8</f>
        <v>Samsung 9kW mono</v>
      </c>
    </row>
    <row r="87" spans="1:4" ht="15.75" thickBot="1">
      <c r="A87" s="369" t="s">
        <v>270</v>
      </c>
      <c r="B87" s="390" t="str">
        <f>IF(equipment!E10="Combi Hybrid",equipment!E12,+IF(equipment!E10="System Hybrid",equipment!E12,"Not a Hybrid"))</f>
        <v>Not a Hybrid</v>
      </c>
    </row>
    <row r="88" spans="1:4" ht="15.75" thickBot="1">
      <c r="A88" s="369" t="s">
        <v>211</v>
      </c>
      <c r="B88" s="390" t="str">
        <f>equipment!I16</f>
        <v xml:space="preserve"> No Not MCS</v>
      </c>
    </row>
    <row r="89" spans="1:4" ht="15.75" thickBot="1">
      <c r="A89" s="369" t="s">
        <v>271</v>
      </c>
      <c r="B89" s="390" t="str">
        <f>'MCS020 sound test'!K47</f>
        <v>PASS</v>
      </c>
    </row>
  </sheetData>
  <sheetProtection algorithmName="SHA-512" hashValue="+Ef7Su78dhDqHt2RkPT9K8Gk3N/ybZDMnQw04E6x/SJxNzPeGBY71NkNuuorUzwJLVZpF6oTPgK1bmZsh7b1vA==" saltValue="ivg9PAsDXlaNonL/obAVWw==" spinCount="100000" sheet="1" objects="1" scenarios="1"/>
  <mergeCells count="57">
    <mergeCell ref="C48:D48"/>
    <mergeCell ref="C49:D49"/>
    <mergeCell ref="C44:D44"/>
    <mergeCell ref="C43:D43"/>
    <mergeCell ref="C45:D45"/>
    <mergeCell ref="C46:D46"/>
    <mergeCell ref="C47:D47"/>
    <mergeCell ref="B7:D7"/>
    <mergeCell ref="B2:D2"/>
    <mergeCell ref="B3:D3"/>
    <mergeCell ref="B4:D4"/>
    <mergeCell ref="B5:D5"/>
    <mergeCell ref="B6:D6"/>
    <mergeCell ref="B8:D8"/>
    <mergeCell ref="C10:D10"/>
    <mergeCell ref="C11:D11"/>
    <mergeCell ref="C12:D12"/>
    <mergeCell ref="A14:B14"/>
    <mergeCell ref="C14:D14"/>
    <mergeCell ref="C25:D25"/>
    <mergeCell ref="A15:B15"/>
    <mergeCell ref="C15:D15"/>
    <mergeCell ref="A16:B16"/>
    <mergeCell ref="C16:D16"/>
    <mergeCell ref="C18:D18"/>
    <mergeCell ref="C19:D19"/>
    <mergeCell ref="C20:D20"/>
    <mergeCell ref="C21:D21"/>
    <mergeCell ref="C22:D22"/>
    <mergeCell ref="C23:D23"/>
    <mergeCell ref="C24:D24"/>
    <mergeCell ref="C26:D26"/>
    <mergeCell ref="C27:D27"/>
    <mergeCell ref="C28:D28"/>
    <mergeCell ref="C29:D29"/>
    <mergeCell ref="C30:D30"/>
    <mergeCell ref="C31:D31"/>
    <mergeCell ref="C32:D32"/>
    <mergeCell ref="C33:D33"/>
    <mergeCell ref="C41:D41"/>
    <mergeCell ref="C42:D42"/>
    <mergeCell ref="C34:D34"/>
    <mergeCell ref="C35:D35"/>
    <mergeCell ref="C36:D36"/>
    <mergeCell ref="C37:D37"/>
    <mergeCell ref="C38:D38"/>
    <mergeCell ref="C39:D39"/>
    <mergeCell ref="C40:D40"/>
    <mergeCell ref="A60:B60"/>
    <mergeCell ref="A75:D75"/>
    <mergeCell ref="C50:D50"/>
    <mergeCell ref="C51:D51"/>
    <mergeCell ref="C52:D52"/>
    <mergeCell ref="C53:D53"/>
    <mergeCell ref="C54:D54"/>
    <mergeCell ref="C55:D55"/>
    <mergeCell ref="C56:D56"/>
  </mergeCells>
  <pageMargins left="0.7" right="0.7" top="0.75" bottom="0.75" header="0.3" footer="0.3"/>
  <pageSetup paperSize="9" scale="63" orientation="portrait"/>
  <colBreaks count="1" manualBreakCount="1">
    <brk id="5" max="69" man="1"/>
  </colBreaks>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22</vt:i4>
      </vt:variant>
    </vt:vector>
  </HeadingPairs>
  <TitlesOfParts>
    <vt:vector size="33" baseType="lpstr">
      <vt:lpstr>introduction</vt:lpstr>
      <vt:lpstr>Data Entry Sheet</vt:lpstr>
      <vt:lpstr>Heat Loss Calculator</vt:lpstr>
      <vt:lpstr>equipment</vt:lpstr>
      <vt:lpstr>MCS calc and run costs </vt:lpstr>
      <vt:lpstr>MCS020 sound test</vt:lpstr>
      <vt:lpstr>MCS Compliance Certificate</vt:lpstr>
      <vt:lpstr>SPF Calculator</vt:lpstr>
      <vt:lpstr>MCS performance estimate</vt:lpstr>
      <vt:lpstr>swimming pools</vt:lpstr>
      <vt:lpstr>myson</vt:lpstr>
      <vt:lpstr>_16kW_Mono</vt:lpstr>
      <vt:lpstr>_2_x_16kW_mono</vt:lpstr>
      <vt:lpstr>_2_x_9kW_mono</vt:lpstr>
      <vt:lpstr>_45_Degrees_C_Flow</vt:lpstr>
      <vt:lpstr>_50_Degreees_C_Flow</vt:lpstr>
      <vt:lpstr>_50_Degrees_C_Flow</vt:lpstr>
      <vt:lpstr>_9kW_and_16kW</vt:lpstr>
      <vt:lpstr>_9kW_Mono</vt:lpstr>
      <vt:lpstr>_9kW_Mono_T_mode</vt:lpstr>
      <vt:lpstr>ambient_temperature</vt:lpstr>
      <vt:lpstr>LINEB</vt:lpstr>
      <vt:lpstr>linec</vt:lpstr>
      <vt:lpstr>'Data Entry Sheet'!Print_Area</vt:lpstr>
      <vt:lpstr>equipment!Print_Area</vt:lpstr>
      <vt:lpstr>'Heat Loss Calculator'!Print_Area</vt:lpstr>
      <vt:lpstr>introduction!Print_Area</vt:lpstr>
      <vt:lpstr>'MCS calc and run costs '!Print_Area</vt:lpstr>
      <vt:lpstr>'MCS Compliance Certificate'!Print_Area</vt:lpstr>
      <vt:lpstr>'MCS performance estimate'!Print_Area</vt:lpstr>
      <vt:lpstr>'MCS020 sound test'!Print_Area</vt:lpstr>
      <vt:lpstr>myson!Print_Area</vt:lpstr>
      <vt:lpstr>'swimming pools'!Print_Area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Graham-PC</dc:creator>
  <cp:lastModifiedBy>Dave White</cp:lastModifiedBy>
  <cp:lastPrinted>2018-07-21T20:21:28Z</cp:lastPrinted>
  <dcterms:created xsi:type="dcterms:W3CDTF">2010-11-05T13:48:41Z</dcterms:created>
  <dcterms:modified xsi:type="dcterms:W3CDTF">2023-01-15T19:36:03Z</dcterms:modified>
</cp:coreProperties>
</file>