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netorgft7465028-my.sharepoint.com/personal/graham_abcheatpumps_co_uk/Documents/training and tech/Calculators/"/>
    </mc:Choice>
  </mc:AlternateContent>
  <xr:revisionPtr revIDLastSave="37" documentId="13_ncr:1_{1C59DA9F-95D8-4400-9EDD-10342F174EF2}" xr6:coauthVersionLast="47" xr6:coauthVersionMax="47" xr10:uidLastSave="{E65D8313-E18A-4654-934B-45BD56E8799F}"/>
  <bookViews>
    <workbookView xWindow="-120" yWindow="-120" windowWidth="51840" windowHeight="21120" xr2:uid="{00000000-000D-0000-FFFF-FFFF00000000}"/>
  </bookViews>
  <sheets>
    <sheet name="Qs and Options " sheetId="1" r:id="rId1"/>
    <sheet name="Postcode areas" sheetId="2" r:id="rId2"/>
  </sheets>
  <definedNames>
    <definedName name="_12kW_mono">#REF!</definedName>
    <definedName name="_14kW_mono">#REF!</definedName>
    <definedName name="_16kW_Mono">#REF!</definedName>
    <definedName name="_16kW_Mono_T_mode">#REF!</definedName>
    <definedName name="_2_x_16kW_mono">#REF!</definedName>
    <definedName name="_2_x_9kW_mono">#REF!</definedName>
    <definedName name="_3_x16kW_monos">#REF!</definedName>
    <definedName name="_45_Degrees_C_Flow">#REF!</definedName>
    <definedName name="_50_Degreees_C_Flow">#REF!</definedName>
    <definedName name="_50_Degrees_C_Flow">#REF!</definedName>
    <definedName name="_9kW___16kW__16kW">#REF!</definedName>
    <definedName name="_9kW___9kW___16kW">#REF!</definedName>
    <definedName name="_9kW_and_16kW">#REF!</definedName>
    <definedName name="_9kW_Mono">#REF!</definedName>
    <definedName name="_9kW_Mono_T_mode">#REF!</definedName>
    <definedName name="ambient_temperature">#REF!</definedName>
    <definedName name="LINEB">#REF!</definedName>
    <definedName name="lin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z97Bl3GULZHYb0E1CL//PEEtSkw=="/>
    </ext>
  </extLst>
</workbook>
</file>

<file path=xl/calcChain.xml><?xml version="1.0" encoding="utf-8"?>
<calcChain xmlns="http://schemas.openxmlformats.org/spreadsheetml/2006/main">
  <c r="D121" i="1" l="1"/>
  <c r="D122" i="1" s="1"/>
  <c r="B115" i="1"/>
  <c r="J98" i="1"/>
  <c r="B85" i="1" s="1"/>
  <c r="J97" i="1" s="1"/>
  <c r="J99" i="1"/>
  <c r="J115" i="1"/>
  <c r="J117" i="1" s="1"/>
  <c r="B110" i="1" s="1"/>
  <c r="B111" i="1"/>
  <c r="J116" i="1" l="1"/>
  <c r="J118" i="1" s="1"/>
  <c r="J119" i="1" s="1"/>
  <c r="B113" i="1" s="1"/>
  <c r="B116" i="1" s="1"/>
  <c r="B118" i="1" s="1"/>
  <c r="J100" i="1"/>
  <c r="J102" i="1" s="1"/>
  <c r="J120" i="1" l="1"/>
  <c r="J121" i="1" s="1"/>
  <c r="B112" i="1" s="1"/>
  <c r="J122" i="1"/>
  <c r="B117" i="1" s="1"/>
  <c r="B67" i="1" l="1"/>
  <c r="B91" i="1"/>
  <c r="J109" i="1"/>
  <c r="J110" i="1"/>
  <c r="B86" i="1"/>
  <c r="B87" i="1" l="1"/>
  <c r="J4" i="1"/>
  <c r="J54" i="1"/>
  <c r="B63" i="1"/>
  <c r="J73" i="1"/>
  <c r="B62" i="1"/>
  <c r="J74" i="1"/>
  <c r="B22" i="1"/>
  <c r="B64" i="1" l="1"/>
  <c r="J72" i="1"/>
  <c r="J75" i="1"/>
  <c r="J76" i="1" s="1"/>
  <c r="J79" i="1" s="1"/>
  <c r="B69" i="1" s="1"/>
  <c r="K50" i="1"/>
  <c r="L50" i="1" s="1"/>
  <c r="K48" i="1"/>
  <c r="K46" i="1"/>
  <c r="K44" i="1"/>
  <c r="K42" i="1"/>
  <c r="B18" i="1"/>
  <c r="J58" i="1" s="1"/>
  <c r="J103" i="1" l="1"/>
  <c r="B88" i="1" s="1"/>
  <c r="J101" i="1"/>
  <c r="J104" i="1" s="1"/>
  <c r="B93" i="1" s="1"/>
  <c r="B65" i="1"/>
  <c r="J77" i="1"/>
  <c r="J78" i="1" s="1"/>
  <c r="L42" i="1"/>
  <c r="L44" i="1"/>
  <c r="L46" i="1"/>
  <c r="L48" i="1"/>
  <c r="B68" i="1" l="1"/>
  <c r="B70" i="1" s="1"/>
  <c r="B89" i="1"/>
  <c r="B92" i="1" s="1"/>
  <c r="B94" i="1" s="1"/>
  <c r="J56" i="1"/>
  <c r="B17" i="1" s="1"/>
  <c r="B19" i="1" l="1"/>
  <c r="J57" i="1"/>
  <c r="J59" i="1" s="1"/>
  <c r="J55" i="1"/>
  <c r="J60" i="1" l="1"/>
  <c r="J63" i="1" s="1"/>
  <c r="J61" i="1"/>
  <c r="J62" i="1" s="1"/>
  <c r="B21" i="1" l="1"/>
  <c r="B23" i="1" s="1"/>
  <c r="B25" i="1" s="1"/>
  <c r="B24" i="1"/>
</calcChain>
</file>

<file path=xl/sharedStrings.xml><?xml version="1.0" encoding="utf-8"?>
<sst xmlns="http://schemas.openxmlformats.org/spreadsheetml/2006/main" count="810" uniqueCount="391">
  <si>
    <t>Location</t>
  </si>
  <si>
    <t>location</t>
  </si>
  <si>
    <t>London</t>
  </si>
  <si>
    <t>semi detached</t>
  </si>
  <si>
    <t xml:space="preserve">notes </t>
  </si>
  <si>
    <t>Plymouth</t>
  </si>
  <si>
    <t>MCS Ambient temp</t>
  </si>
  <si>
    <t>detached</t>
  </si>
  <si>
    <t xml:space="preserve">u values of floors adjusted for higher ground temp </t>
  </si>
  <si>
    <t>Belfast</t>
  </si>
  <si>
    <t>Cardiff</t>
  </si>
  <si>
    <t>Reference data table</t>
  </si>
  <si>
    <t>Bungalow</t>
  </si>
  <si>
    <t>assumed external walls are 1/2 the length of the floor area</t>
  </si>
  <si>
    <t>Window U-values</t>
  </si>
  <si>
    <t>Terraced</t>
  </si>
  <si>
    <t>assumed 15% window area</t>
  </si>
  <si>
    <t>Manchester</t>
  </si>
  <si>
    <t xml:space="preserve">assumed ext roof = 1/2 floor area </t>
  </si>
  <si>
    <t>Birmingham</t>
  </si>
  <si>
    <t>Double Glazed</t>
  </si>
  <si>
    <t>note LPG boiler</t>
  </si>
  <si>
    <t>Edinburgh</t>
  </si>
  <si>
    <t>Wall U-values</t>
  </si>
  <si>
    <t>none</t>
  </si>
  <si>
    <t>cavity wall</t>
  </si>
  <si>
    <t>both</t>
  </si>
  <si>
    <t>note kWh not Kwh</t>
  </si>
  <si>
    <t>Glasgow</t>
  </si>
  <si>
    <t>2010 or later</t>
  </si>
  <si>
    <t>Channel Islands</t>
  </si>
  <si>
    <t>1990-2009</t>
  </si>
  <si>
    <t>notes if its before 1990 no cavity wall insulation possible</t>
  </si>
  <si>
    <t>1950-1989</t>
  </si>
  <si>
    <t>what type of property</t>
  </si>
  <si>
    <t>1900 - 1949</t>
  </si>
  <si>
    <t>before or 1900</t>
  </si>
  <si>
    <t>no of bedrooms</t>
  </si>
  <si>
    <t>Floor U-values</t>
  </si>
  <si>
    <t>no of bathrooms</t>
  </si>
  <si>
    <t>less than 150m^2</t>
  </si>
  <si>
    <t>150m^2 -200m^2</t>
  </si>
  <si>
    <t>house size selector</t>
  </si>
  <si>
    <t>251m^2 - 300m^2</t>
  </si>
  <si>
    <t>201m^2  -250m^2</t>
  </si>
  <si>
    <t>house age</t>
  </si>
  <si>
    <t>Roof U-values</t>
  </si>
  <si>
    <t>loft</t>
  </si>
  <si>
    <t>more than 300m^2</t>
  </si>
  <si>
    <t>gas boiler</t>
  </si>
  <si>
    <t>What kind of windows</t>
  </si>
  <si>
    <t>Ventilation rate</t>
  </si>
  <si>
    <t>AC/hr</t>
  </si>
  <si>
    <t>energy usage in kWh</t>
  </si>
  <si>
    <t>Don’t know skip</t>
  </si>
  <si>
    <t>pitched</t>
  </si>
  <si>
    <t>Oil Boiler</t>
  </si>
  <si>
    <t>no</t>
  </si>
  <si>
    <t>Electric Heating</t>
  </si>
  <si>
    <t>LPG heating</t>
  </si>
  <si>
    <t>factor for house type</t>
  </si>
  <si>
    <t>roof</t>
  </si>
  <si>
    <t>floor</t>
  </si>
  <si>
    <t>windows</t>
  </si>
  <si>
    <t>ext wall</t>
  </si>
  <si>
    <t>Single Glazed</t>
  </si>
  <si>
    <t>Results</t>
  </si>
  <si>
    <t>Floor Area m^2</t>
  </si>
  <si>
    <t>m^2</t>
  </si>
  <si>
    <t>per Month</t>
  </si>
  <si>
    <t>Average W/m²</t>
  </si>
  <si>
    <t>Per Year</t>
  </si>
  <si>
    <t>total heat loss</t>
  </si>
  <si>
    <t>W</t>
  </si>
  <si>
    <t>flat</t>
  </si>
  <si>
    <t>Litres</t>
  </si>
  <si>
    <t xml:space="preserve">maths </t>
  </si>
  <si>
    <t>U Values</t>
  </si>
  <si>
    <t>mixed</t>
  </si>
  <si>
    <t>External Wall Type</t>
  </si>
  <si>
    <t>yes</t>
  </si>
  <si>
    <t>Window Type</t>
  </si>
  <si>
    <t>Floor Construction</t>
  </si>
  <si>
    <t>Roof / Ceiling Construction</t>
  </si>
  <si>
    <t>Air Ch/hr</t>
  </si>
  <si>
    <t xml:space="preserve">Ventilation loss Air change/hr </t>
  </si>
  <si>
    <t>Flat</t>
  </si>
  <si>
    <t xml:space="preserve">postcode </t>
  </si>
  <si>
    <t>what kind of heating do you have now</t>
  </si>
  <si>
    <t>data set for drop downs</t>
  </si>
  <si>
    <t>what kind of roof do you have</t>
  </si>
  <si>
    <t>your house needs a heat pump size</t>
  </si>
  <si>
    <t>Our estimated installed price will be</t>
  </si>
  <si>
    <t xml:space="preserve">The Government grant will be </t>
  </si>
  <si>
    <t xml:space="preserve">You will save </t>
  </si>
  <si>
    <t xml:space="preserve">your carbon reduction will be </t>
  </si>
  <si>
    <t>kg/year</t>
  </si>
  <si>
    <t>% of your heating bill</t>
  </si>
  <si>
    <t>your return on investment will be</t>
  </si>
  <si>
    <t>*we have assumed a new boiler would cost £3000 in this calculation</t>
  </si>
  <si>
    <t>would you like to learn more about air source heat pumps for your house</t>
  </si>
  <si>
    <t>Assume the installer will charge£250 + vat for this service</t>
  </si>
  <si>
    <t>name</t>
  </si>
  <si>
    <t>phone number</t>
  </si>
  <si>
    <t xml:space="preserve">email </t>
  </si>
  <si>
    <t>kW</t>
  </si>
  <si>
    <t>has cavity wall and loft insulation been installed</t>
  </si>
  <si>
    <t>note assumed 2200 degree days</t>
  </si>
  <si>
    <t xml:space="preserve">kWhrs required for hot water </t>
  </si>
  <si>
    <t>kWhrs/yr</t>
  </si>
  <si>
    <t>kWhrs of heating required per annum</t>
  </si>
  <si>
    <t>electrical energy per annum for HP</t>
  </si>
  <si>
    <t>kWhrs eligible for RHI</t>
  </si>
  <si>
    <t>RHI value per year</t>
  </si>
  <si>
    <t>per annum</t>
  </si>
  <si>
    <t>do you have an EPC, if so fill in just these 2 boxes</t>
  </si>
  <si>
    <t>Space heating</t>
  </si>
  <si>
    <t>Water heating</t>
  </si>
  <si>
    <t>kWh per year</t>
  </si>
  <si>
    <t xml:space="preserve"> kWh per year</t>
  </si>
  <si>
    <t>total co2 emmission from HP</t>
  </si>
  <si>
    <t>run cost saving</t>
  </si>
  <si>
    <t>co2 saving</t>
  </si>
  <si>
    <t>installed cost kW</t>
  </si>
  <si>
    <t>£s</t>
  </si>
  <si>
    <t>call for more info</t>
  </si>
  <si>
    <t>£ / year</t>
  </si>
  <si>
    <t>years</t>
  </si>
  <si>
    <t>total kWhrs of heat and dhw required annum</t>
  </si>
  <si>
    <t>Assume the installer will charge £250 + vat for this service</t>
  </si>
  <si>
    <t>Would you like to learn more about air source heat pumps for your house?</t>
  </si>
  <si>
    <t>Design ambient temperatures</t>
  </si>
  <si>
    <t>AB</t>
  </si>
  <si>
    <t>Aberdeen</t>
  </si>
  <si>
    <t>Scotland</t>
  </si>
  <si>
    <t>AL</t>
  </si>
  <si>
    <t>St. Albans</t>
  </si>
  <si>
    <t>East of England</t>
  </si>
  <si>
    <t>B</t>
  </si>
  <si>
    <t>West Midlands</t>
  </si>
  <si>
    <t>BA</t>
  </si>
  <si>
    <t>Bath</t>
  </si>
  <si>
    <t>South West</t>
  </si>
  <si>
    <t>BB</t>
  </si>
  <si>
    <t>Blackburn</t>
  </si>
  <si>
    <t>North West</t>
  </si>
  <si>
    <t>BD</t>
  </si>
  <si>
    <t>Bradford</t>
  </si>
  <si>
    <t>BH</t>
  </si>
  <si>
    <t>Bournemouth</t>
  </si>
  <si>
    <t>BL</t>
  </si>
  <si>
    <t>Bolton</t>
  </si>
  <si>
    <t>BN</t>
  </si>
  <si>
    <t>Brighton</t>
  </si>
  <si>
    <t>South East</t>
  </si>
  <si>
    <t>BR</t>
  </si>
  <si>
    <t>Bromley</t>
  </si>
  <si>
    <t>Greater London</t>
  </si>
  <si>
    <t>BS</t>
  </si>
  <si>
    <t>Bristol</t>
  </si>
  <si>
    <t>BT</t>
  </si>
  <si>
    <t>Northern Ireland</t>
  </si>
  <si>
    <t>CA</t>
  </si>
  <si>
    <t>Carlisle</t>
  </si>
  <si>
    <t>CB</t>
  </si>
  <si>
    <t>Cambridge</t>
  </si>
  <si>
    <t>CF</t>
  </si>
  <si>
    <t>Wales</t>
  </si>
  <si>
    <t>CH</t>
  </si>
  <si>
    <t>Chester</t>
  </si>
  <si>
    <t>CM</t>
  </si>
  <si>
    <t>Chelmsford</t>
  </si>
  <si>
    <t>CO</t>
  </si>
  <si>
    <t>Colchester</t>
  </si>
  <si>
    <t>CR</t>
  </si>
  <si>
    <t>Croydon</t>
  </si>
  <si>
    <t>CT</t>
  </si>
  <si>
    <t>Canterbury</t>
  </si>
  <si>
    <t>CV</t>
  </si>
  <si>
    <t>Coventry</t>
  </si>
  <si>
    <t>CW</t>
  </si>
  <si>
    <t>Crewe</t>
  </si>
  <si>
    <t>DA</t>
  </si>
  <si>
    <t>Dartford</t>
  </si>
  <si>
    <t>DD</t>
  </si>
  <si>
    <t>Dundee</t>
  </si>
  <si>
    <t>DE</t>
  </si>
  <si>
    <t>Derby</t>
  </si>
  <si>
    <t>East Midlands</t>
  </si>
  <si>
    <t>DG</t>
  </si>
  <si>
    <t>Dumfries</t>
  </si>
  <si>
    <t>DH</t>
  </si>
  <si>
    <t>Durham</t>
  </si>
  <si>
    <t>North East</t>
  </si>
  <si>
    <t>DL</t>
  </si>
  <si>
    <t>Darlington</t>
  </si>
  <si>
    <t>DN</t>
  </si>
  <si>
    <t>Doncaster</t>
  </si>
  <si>
    <t>DT</t>
  </si>
  <si>
    <t>Dorchester</t>
  </si>
  <si>
    <t>DY</t>
  </si>
  <si>
    <t>Dudley</t>
  </si>
  <si>
    <t>E</t>
  </si>
  <si>
    <t>EC</t>
  </si>
  <si>
    <t>EH</t>
  </si>
  <si>
    <t>EN</t>
  </si>
  <si>
    <t>Enfield</t>
  </si>
  <si>
    <t>EX</t>
  </si>
  <si>
    <t>Exeter</t>
  </si>
  <si>
    <t>FK</t>
  </si>
  <si>
    <t>Falkirk</t>
  </si>
  <si>
    <t>FY</t>
  </si>
  <si>
    <t>Blackpool</t>
  </si>
  <si>
    <t>G</t>
  </si>
  <si>
    <t>GL</t>
  </si>
  <si>
    <t>Gloucester</t>
  </si>
  <si>
    <t>GU</t>
  </si>
  <si>
    <t>Guilford</t>
  </si>
  <si>
    <t>GY</t>
  </si>
  <si>
    <t>Guernsey</t>
  </si>
  <si>
    <t>HA</t>
  </si>
  <si>
    <t>Harrow</t>
  </si>
  <si>
    <t>HD</t>
  </si>
  <si>
    <t>Huddersfield</t>
  </si>
  <si>
    <t>HG</t>
  </si>
  <si>
    <t>Harrogate</t>
  </si>
  <si>
    <t>HP</t>
  </si>
  <si>
    <t>Hemel</t>
  </si>
  <si>
    <t>HR</t>
  </si>
  <si>
    <t>Hereford</t>
  </si>
  <si>
    <t>HS</t>
  </si>
  <si>
    <t>Comhairle nan Eilean Siar</t>
  </si>
  <si>
    <t>HU</t>
  </si>
  <si>
    <t>Hull</t>
  </si>
  <si>
    <t>HX</t>
  </si>
  <si>
    <t>Halifax</t>
  </si>
  <si>
    <t>IG</t>
  </si>
  <si>
    <t>Ilford</t>
  </si>
  <si>
    <t>IM</t>
  </si>
  <si>
    <t>Isle of Man</t>
  </si>
  <si>
    <t>IP</t>
  </si>
  <si>
    <t>Ipswich</t>
  </si>
  <si>
    <t>IV</t>
  </si>
  <si>
    <t>Inverness</t>
  </si>
  <si>
    <t>JE</t>
  </si>
  <si>
    <t>Jersey</t>
  </si>
  <si>
    <t>KA</t>
  </si>
  <si>
    <t>Kilmarnock</t>
  </si>
  <si>
    <t>KT</t>
  </si>
  <si>
    <t>Kingston</t>
  </si>
  <si>
    <t>KW</t>
  </si>
  <si>
    <t>Kirkwall</t>
  </si>
  <si>
    <t>KY</t>
  </si>
  <si>
    <t>Kirkaldy</t>
  </si>
  <si>
    <t>L</t>
  </si>
  <si>
    <t>Liverpool</t>
  </si>
  <si>
    <t>LA</t>
  </si>
  <si>
    <t>Lancaster</t>
  </si>
  <si>
    <t>LD</t>
  </si>
  <si>
    <t>Llandrindod</t>
  </si>
  <si>
    <t>LE</t>
  </si>
  <si>
    <t>Leicester</t>
  </si>
  <si>
    <t>LL</t>
  </si>
  <si>
    <t>Llandudno</t>
  </si>
  <si>
    <t>LN</t>
  </si>
  <si>
    <t>Lincoln</t>
  </si>
  <si>
    <t>LS</t>
  </si>
  <si>
    <t>Leeds</t>
  </si>
  <si>
    <t>LU</t>
  </si>
  <si>
    <t>Luton</t>
  </si>
  <si>
    <t>M</t>
  </si>
  <si>
    <t>ME</t>
  </si>
  <si>
    <t>Medway</t>
  </si>
  <si>
    <t>MK</t>
  </si>
  <si>
    <t>Milton Keynes</t>
  </si>
  <si>
    <t>ML</t>
  </si>
  <si>
    <t>Motherwell</t>
  </si>
  <si>
    <t>N</t>
  </si>
  <si>
    <t>NE</t>
  </si>
  <si>
    <t>Newcastle</t>
  </si>
  <si>
    <t>NG</t>
  </si>
  <si>
    <t>Nottingham</t>
  </si>
  <si>
    <t>NN</t>
  </si>
  <si>
    <t>Northampton</t>
  </si>
  <si>
    <t>NP</t>
  </si>
  <si>
    <t>Newport</t>
  </si>
  <si>
    <t>NR</t>
  </si>
  <si>
    <t>Norwich</t>
  </si>
  <si>
    <t>NW</t>
  </si>
  <si>
    <t>OL</t>
  </si>
  <si>
    <t>Oldham</t>
  </si>
  <si>
    <t>OX</t>
  </si>
  <si>
    <t>Oxford</t>
  </si>
  <si>
    <t>PA</t>
  </si>
  <si>
    <t>Paisley</t>
  </si>
  <si>
    <t>PE</t>
  </si>
  <si>
    <t>Peterborough</t>
  </si>
  <si>
    <t>East England</t>
  </si>
  <si>
    <t>PH</t>
  </si>
  <si>
    <t>Perth</t>
  </si>
  <si>
    <t>PL</t>
  </si>
  <si>
    <t>PO</t>
  </si>
  <si>
    <t>Portsmouth</t>
  </si>
  <si>
    <t>PR</t>
  </si>
  <si>
    <t>Preston</t>
  </si>
  <si>
    <t>RG</t>
  </si>
  <si>
    <t>Reading</t>
  </si>
  <si>
    <t>RH</t>
  </si>
  <si>
    <t>Redhill</t>
  </si>
  <si>
    <t>RM</t>
  </si>
  <si>
    <t>Romford</t>
  </si>
  <si>
    <t>S</t>
  </si>
  <si>
    <t>Sheffield</t>
  </si>
  <si>
    <t>SA</t>
  </si>
  <si>
    <t>Swansea</t>
  </si>
  <si>
    <t>SE</t>
  </si>
  <si>
    <t>SG</t>
  </si>
  <si>
    <t>Stevenage</t>
  </si>
  <si>
    <t>SK</t>
  </si>
  <si>
    <t>Stockport</t>
  </si>
  <si>
    <t>SL</t>
  </si>
  <si>
    <t>Slough</t>
  </si>
  <si>
    <t>SM</t>
  </si>
  <si>
    <t>Sutton</t>
  </si>
  <si>
    <t>SN</t>
  </si>
  <si>
    <t>Swindon</t>
  </si>
  <si>
    <t>SO</t>
  </si>
  <si>
    <t>Southampton</t>
  </si>
  <si>
    <t>SP</t>
  </si>
  <si>
    <t>Salisbury</t>
  </si>
  <si>
    <t>SR</t>
  </si>
  <si>
    <t>Sunderland</t>
  </si>
  <si>
    <t>SS</t>
  </si>
  <si>
    <t>Southend</t>
  </si>
  <si>
    <t>ST</t>
  </si>
  <si>
    <t>Stoke on Trent</t>
  </si>
  <si>
    <t>SW</t>
  </si>
  <si>
    <t>SY</t>
  </si>
  <si>
    <t>Shrewsbury</t>
  </si>
  <si>
    <t>TA</t>
  </si>
  <si>
    <t>Taunton</t>
  </si>
  <si>
    <t>TD</t>
  </si>
  <si>
    <t>Galashiels</t>
  </si>
  <si>
    <t>TF</t>
  </si>
  <si>
    <t>Telford</t>
  </si>
  <si>
    <t>TN</t>
  </si>
  <si>
    <t>Tonbridge</t>
  </si>
  <si>
    <t>TQ</t>
  </si>
  <si>
    <t>Torquay</t>
  </si>
  <si>
    <t>TR</t>
  </si>
  <si>
    <t>Truro</t>
  </si>
  <si>
    <t>TS</t>
  </si>
  <si>
    <t>Cleveland</t>
  </si>
  <si>
    <t>TW</t>
  </si>
  <si>
    <t>Twickenham</t>
  </si>
  <si>
    <t>UB</t>
  </si>
  <si>
    <t>Southall</t>
  </si>
  <si>
    <t>WA</t>
  </si>
  <si>
    <t>Warrington</t>
  </si>
  <si>
    <t>WC</t>
  </si>
  <si>
    <t>WD</t>
  </si>
  <si>
    <t>Watford</t>
  </si>
  <si>
    <t>WF</t>
  </si>
  <si>
    <t>Wakefield</t>
  </si>
  <si>
    <t>WN</t>
  </si>
  <si>
    <t>Wigan</t>
  </si>
  <si>
    <t>WR</t>
  </si>
  <si>
    <t>Worcester</t>
  </si>
  <si>
    <t>WS</t>
  </si>
  <si>
    <t>Walsall</t>
  </si>
  <si>
    <t>WV</t>
  </si>
  <si>
    <t>Wolverhampton</t>
  </si>
  <si>
    <t>YO</t>
  </si>
  <si>
    <t>York</t>
  </si>
  <si>
    <t>ZE</t>
  </si>
  <si>
    <t>Shetland</t>
  </si>
  <si>
    <t>co2 emission factor 400g/kWhr</t>
  </si>
  <si>
    <t>If you know your energy useage</t>
  </si>
  <si>
    <t>of your heating bill</t>
  </si>
  <si>
    <t>results with RHI up to April 2022</t>
  </si>
  <si>
    <t>If you know about your house construction</t>
  </si>
  <si>
    <t>heat pump run cost (assuming its on 24/7, 6months of the year)</t>
  </si>
  <si>
    <t>you will need a hot water cylinder of</t>
  </si>
  <si>
    <t>results with Green grant from April 2022</t>
  </si>
  <si>
    <t xml:space="preserve">We can we put you in touch with a local installer who will come and do an accurate survey. </t>
  </si>
  <si>
    <t>We can we put you in touch with a local installer who will come and do an accurate survey?</t>
  </si>
  <si>
    <t>Ground source calculator</t>
  </si>
  <si>
    <t>ground loop length</t>
  </si>
  <si>
    <t>ground loops</t>
  </si>
  <si>
    <t>xxxx</t>
  </si>
  <si>
    <t xml:space="preserve">The Government grant Boiler upgrade scheme will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</si>
</sst>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0.0"/>
    <numFmt numFmtId="165" formatCode="_-&quot;£&quot;* #,##0_-;\-&quot;£&quot;* #,##0_-;_-&quot;£&quot;* &quot;-&quot;??_-;_-@_-"/>
  </numFmts>
  <fonts count="1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5DFFF"/>
        <bgColor rgb="FF85DFFF"/>
      </patternFill>
    </fill>
    <fill>
      <patternFill patternType="solid">
        <fgColor rgb="FF0070C0"/>
        <bgColor rgb="FF0070C0"/>
      </patternFill>
    </fill>
    <fill>
      <patternFill patternType="solid">
        <fgColor rgb="FF8EAADB"/>
        <bgColor rgb="FF8EAADB"/>
      </patternFill>
    </fill>
    <fill>
      <patternFill patternType="solid">
        <fgColor rgb="FFFFC000"/>
        <bgColor indexed="64"/>
      </patternFill>
    </fill>
    <fill>
      <patternFill patternType="solid">
        <fgColor theme="2" tint="-0.14999847407452621"/>
        <bgColor rgb="FF0070C0"/>
      </patternFill>
    </fill>
    <fill>
      <patternFill patternType="solid">
        <fgColor rgb="FFFFC000"/>
        <bgColor rgb="FF85DFFF"/>
      </patternFill>
    </fill>
    <fill>
      <patternFill patternType="solid">
        <fgColor theme="9" tint="0.39997558519241921"/>
        <bgColor rgb="FF85D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2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12" xfId="0" applyFont="1" applyBorder="1" applyAlignment="1"/>
    <xf numFmtId="0" fontId="4" fillId="0" borderId="14" xfId="0" applyFont="1" applyBorder="1" applyAlignment="1"/>
    <xf numFmtId="0" fontId="4" fillId="0" borderId="0" xfId="0" applyFont="1" applyAlignment="1"/>
    <xf numFmtId="0" fontId="4" fillId="0" borderId="15" xfId="0" applyFont="1" applyBorder="1" applyAlignment="1"/>
    <xf numFmtId="0" fontId="12" fillId="0" borderId="1" xfId="0" applyFont="1" applyFill="1" applyBorder="1" applyAlignment="1">
      <alignment wrapText="1"/>
    </xf>
    <xf numFmtId="0" fontId="4" fillId="0" borderId="15" xfId="0" applyFont="1" applyBorder="1"/>
    <xf numFmtId="0" fontId="13" fillId="3" borderId="12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4" fillId="0" borderId="1" xfId="0" applyFont="1" applyBorder="1" applyAlignment="1"/>
    <xf numFmtId="0" fontId="9" fillId="0" borderId="12" xfId="0" applyFont="1" applyBorder="1"/>
    <xf numFmtId="0" fontId="4" fillId="0" borderId="13" xfId="0" applyFont="1" applyBorder="1"/>
    <xf numFmtId="0" fontId="9" fillId="0" borderId="20" xfId="0" applyFont="1" applyBorder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16" xfId="0" applyFont="1" applyBorder="1" applyAlignment="1"/>
    <xf numFmtId="2" fontId="13" fillId="4" borderId="16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8" xfId="0" applyFont="1" applyBorder="1"/>
    <xf numFmtId="0" fontId="4" fillId="0" borderId="5" xfId="0" applyFont="1" applyBorder="1"/>
    <xf numFmtId="0" fontId="14" fillId="0" borderId="1" xfId="0" applyFont="1" applyBorder="1"/>
    <xf numFmtId="0" fontId="4" fillId="0" borderId="17" xfId="0" applyFont="1" applyBorder="1"/>
    <xf numFmtId="2" fontId="13" fillId="4" borderId="19" xfId="0" applyNumberFormat="1" applyFont="1" applyFill="1" applyBorder="1" applyAlignment="1">
      <alignment horizontal="center"/>
    </xf>
    <xf numFmtId="0" fontId="15" fillId="0" borderId="1" xfId="0" applyFont="1" applyBorder="1"/>
    <xf numFmtId="0" fontId="4" fillId="0" borderId="16" xfId="0" applyFont="1" applyBorder="1"/>
    <xf numFmtId="0" fontId="13" fillId="3" borderId="13" xfId="0" applyFont="1" applyFill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2" fontId="13" fillId="4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2" fontId="13" fillId="4" borderId="18" xfId="0" applyNumberFormat="1" applyFont="1" applyFill="1" applyBorder="1" applyAlignment="1">
      <alignment horizontal="center"/>
    </xf>
    <xf numFmtId="0" fontId="16" fillId="3" borderId="13" xfId="0" applyFont="1" applyFill="1" applyBorder="1" applyAlignment="1">
      <alignment horizontal="left"/>
    </xf>
    <xf numFmtId="0" fontId="4" fillId="0" borderId="18" xfId="0" applyFont="1" applyBorder="1"/>
    <xf numFmtId="0" fontId="4" fillId="0" borderId="19" xfId="0" applyFont="1" applyBorder="1"/>
    <xf numFmtId="0" fontId="4" fillId="0" borderId="15" xfId="0" applyFont="1" applyFill="1" applyBorder="1" applyAlignment="1"/>
    <xf numFmtId="0" fontId="4" fillId="0" borderId="1" xfId="0" applyFont="1" applyBorder="1" applyAlignment="1">
      <alignment horizontal="center"/>
    </xf>
    <xf numFmtId="0" fontId="17" fillId="0" borderId="15" xfId="0" applyFont="1" applyBorder="1" applyAlignment="1">
      <alignment vertical="center" wrapText="1"/>
    </xf>
    <xf numFmtId="1" fontId="4" fillId="2" borderId="7" xfId="0" applyNumberFormat="1" applyFont="1" applyFill="1" applyBorder="1" applyAlignment="1">
      <alignment horizontal="right"/>
    </xf>
    <xf numFmtId="44" fontId="4" fillId="2" borderId="7" xfId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6" fillId="3" borderId="14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0" xfId="0" applyFont="1" applyAlignment="1">
      <alignment horizontal="center"/>
    </xf>
    <xf numFmtId="9" fontId="4" fillId="0" borderId="3" xfId="0" applyNumberFormat="1" applyFont="1" applyBorder="1"/>
    <xf numFmtId="9" fontId="4" fillId="0" borderId="1" xfId="0" applyNumberFormat="1" applyFont="1" applyBorder="1"/>
    <xf numFmtId="0" fontId="4" fillId="0" borderId="23" xfId="0" applyFont="1" applyBorder="1"/>
    <xf numFmtId="9" fontId="4" fillId="0" borderId="10" xfId="0" applyNumberFormat="1" applyFont="1" applyBorder="1"/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center"/>
    </xf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5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/>
    <xf numFmtId="0" fontId="14" fillId="6" borderId="15" xfId="0" applyFont="1" applyFill="1" applyBorder="1"/>
    <xf numFmtId="0" fontId="10" fillId="6" borderId="1" xfId="0" applyFont="1" applyFill="1" applyBorder="1" applyAlignment="1">
      <alignment horizontal="left"/>
    </xf>
    <xf numFmtId="0" fontId="10" fillId="6" borderId="16" xfId="0" applyFont="1" applyFill="1" applyBorder="1" applyAlignment="1">
      <alignment horizontal="left"/>
    </xf>
    <xf numFmtId="0" fontId="4" fillId="0" borderId="12" xfId="0" applyFont="1" applyFill="1" applyBorder="1" applyAlignment="1"/>
    <xf numFmtId="0" fontId="4" fillId="6" borderId="17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center"/>
    </xf>
    <xf numFmtId="2" fontId="4" fillId="6" borderId="18" xfId="0" applyNumberFormat="1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left"/>
    </xf>
    <xf numFmtId="0" fontId="9" fillId="0" borderId="12" xfId="0" applyFont="1" applyBorder="1" applyAlignment="1"/>
    <xf numFmtId="0" fontId="4" fillId="0" borderId="17" xfId="0" applyFont="1" applyFill="1" applyBorder="1" applyAlignment="1"/>
    <xf numFmtId="0" fontId="4" fillId="0" borderId="19" xfId="0" applyFont="1" applyBorder="1" applyAlignment="1"/>
    <xf numFmtId="2" fontId="4" fillId="0" borderId="1" xfId="0" applyNumberFormat="1" applyFont="1" applyBorder="1" applyAlignment="1"/>
    <xf numFmtId="1" fontId="4" fillId="0" borderId="1" xfId="0" applyNumberFormat="1" applyFont="1" applyBorder="1" applyAlignment="1"/>
    <xf numFmtId="44" fontId="4" fillId="0" borderId="1" xfId="1" applyFont="1" applyBorder="1" applyAlignment="1"/>
    <xf numFmtId="164" fontId="4" fillId="0" borderId="1" xfId="0" applyNumberFormat="1" applyFont="1" applyBorder="1" applyAlignment="1"/>
    <xf numFmtId="1" fontId="4" fillId="0" borderId="18" xfId="0" applyNumberFormat="1" applyFont="1" applyBorder="1" applyAlignment="1"/>
    <xf numFmtId="164" fontId="4" fillId="2" borderId="7" xfId="0" applyNumberFormat="1" applyFont="1" applyFill="1" applyBorder="1" applyAlignment="1">
      <alignment horizontal="right"/>
    </xf>
    <xf numFmtId="0" fontId="4" fillId="0" borderId="17" xfId="0" applyFont="1" applyBorder="1" applyAlignment="1"/>
    <xf numFmtId="0" fontId="4" fillId="0" borderId="1" xfId="0" applyFont="1" applyFill="1" applyBorder="1" applyAlignment="1"/>
    <xf numFmtId="0" fontId="9" fillId="0" borderId="1" xfId="0" applyFont="1" applyBorder="1" applyAlignment="1"/>
    <xf numFmtId="9" fontId="4" fillId="2" borderId="7" xfId="2" applyFont="1" applyFill="1" applyBorder="1" applyAlignment="1">
      <alignment horizontal="right"/>
    </xf>
    <xf numFmtId="44" fontId="4" fillId="2" borderId="7" xfId="1" applyNumberFormat="1" applyFont="1" applyFill="1" applyBorder="1" applyAlignment="1">
      <alignment horizontal="right"/>
    </xf>
    <xf numFmtId="9" fontId="4" fillId="2" borderId="7" xfId="2" applyNumberFormat="1" applyFont="1" applyFill="1" applyBorder="1" applyAlignment="1">
      <alignment horizontal="right"/>
    </xf>
    <xf numFmtId="164" fontId="4" fillId="0" borderId="18" xfId="0" applyNumberFormat="1" applyFont="1" applyBorder="1" applyAlignment="1"/>
    <xf numFmtId="0" fontId="3" fillId="0" borderId="1" xfId="0" applyFont="1" applyBorder="1" applyAlignment="1"/>
    <xf numFmtId="0" fontId="11" fillId="0" borderId="15" xfId="0" applyFont="1" applyBorder="1" applyAlignment="1"/>
    <xf numFmtId="0" fontId="3" fillId="0" borderId="12" xfId="0" applyFont="1" applyBorder="1" applyAlignment="1"/>
    <xf numFmtId="0" fontId="3" fillId="0" borderId="17" xfId="0" applyFont="1" applyBorder="1" applyAlignment="1"/>
    <xf numFmtId="1" fontId="4" fillId="2" borderId="24" xfId="0" applyNumberFormat="1" applyFont="1" applyFill="1" applyBorder="1" applyAlignment="1">
      <alignment horizontal="right"/>
    </xf>
    <xf numFmtId="1" fontId="4" fillId="2" borderId="25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0" fontId="2" fillId="5" borderId="11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164" fontId="4" fillId="7" borderId="7" xfId="0" applyNumberFormat="1" applyFont="1" applyFill="1" applyBorder="1" applyAlignment="1" applyProtection="1">
      <alignment horizontal="right"/>
      <protection locked="0"/>
    </xf>
    <xf numFmtId="165" fontId="4" fillId="8" borderId="7" xfId="1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0" borderId="15" xfId="0" applyFont="1" applyBorder="1"/>
    <xf numFmtId="0" fontId="18" fillId="0" borderId="1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0</xdr:rowOff>
    </xdr:from>
    <xdr:to>
      <xdr:col>3</xdr:col>
      <xdr:colOff>2200583</xdr:colOff>
      <xdr:row>57</xdr:row>
      <xdr:rowOff>133460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BD4143-EF02-435D-B7B4-9C0B1E00F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11649075"/>
          <a:ext cx="2200582" cy="79068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9525</xdr:rowOff>
    </xdr:from>
    <xdr:to>
      <xdr:col>3</xdr:col>
      <xdr:colOff>2200583</xdr:colOff>
      <xdr:row>4</xdr:row>
      <xdr:rowOff>171560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AB3218-A7A7-4489-9DD6-B988E1177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285750"/>
          <a:ext cx="2200582" cy="79068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77</xdr:row>
      <xdr:rowOff>9525</xdr:rowOff>
    </xdr:from>
    <xdr:to>
      <xdr:col>3</xdr:col>
      <xdr:colOff>2200583</xdr:colOff>
      <xdr:row>80</xdr:row>
      <xdr:rowOff>142986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1991DF3-921F-4CB5-A199-8FABF05AC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6916400"/>
          <a:ext cx="2200582" cy="790685"/>
        </a:xfrm>
        <a:prstGeom prst="rect">
          <a:avLst/>
        </a:prstGeom>
      </xdr:spPr>
    </xdr:pic>
    <xdr:clientData/>
  </xdr:twoCellAnchor>
  <xdr:twoCellAnchor editAs="oneCell">
    <xdr:from>
      <xdr:col>3</xdr:col>
      <xdr:colOff>346710</xdr:colOff>
      <xdr:row>99</xdr:row>
      <xdr:rowOff>144780</xdr:rowOff>
    </xdr:from>
    <xdr:to>
      <xdr:col>4</xdr:col>
      <xdr:colOff>318987</xdr:colOff>
      <xdr:row>110</xdr:row>
      <xdr:rowOff>57806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B34320-C171-4272-9DBC-396FD73C8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5730" y="16101060"/>
          <a:ext cx="2197317" cy="766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workbookViewId="0">
      <selection activeCell="B25" sqref="B25"/>
    </sheetView>
  </sheetViews>
  <sheetFormatPr defaultColWidth="12.625" defaultRowHeight="15" customHeight="1" x14ac:dyDescent="0.25"/>
  <cols>
    <col min="1" max="1" width="54.625" style="11" customWidth="1"/>
    <col min="2" max="2" width="24.125" style="54" customWidth="1"/>
    <col min="3" max="3" width="18.375" style="11" customWidth="1"/>
    <col min="4" max="4" width="29.25" style="11" customWidth="1"/>
    <col min="5" max="5" width="10.25" style="11" customWidth="1"/>
    <col min="6" max="7" width="13.375" style="11" customWidth="1"/>
    <col min="8" max="8" width="13.375" style="11" hidden="1" customWidth="1"/>
    <col min="9" max="9" width="31" style="11" hidden="1" customWidth="1"/>
    <col min="10" max="11" width="10.875" style="11" hidden="1" customWidth="1"/>
    <col min="12" max="12" width="7.625" style="11" hidden="1" customWidth="1"/>
    <col min="13" max="13" width="14.375" style="11" hidden="1" customWidth="1"/>
    <col min="14" max="14" width="7.625" style="11" hidden="1" customWidth="1"/>
    <col min="15" max="15" width="9.625" style="11" hidden="1" customWidth="1"/>
    <col min="16" max="16" width="7.625" style="11" hidden="1" customWidth="1"/>
    <col min="17" max="17" width="15.375" style="11" hidden="1" customWidth="1"/>
    <col min="18" max="19" width="7.625" style="11" hidden="1" customWidth="1"/>
    <col min="20" max="20" width="15.375" style="11" hidden="1" customWidth="1"/>
    <col min="21" max="28" width="7.625" style="11" hidden="1" customWidth="1"/>
    <col min="29" max="29" width="7.625" style="11" customWidth="1"/>
    <col min="30" max="16384" width="12.625" style="11"/>
  </cols>
  <sheetData>
    <row r="1" spans="1:26" ht="21.75" thickBot="1" x14ac:dyDescent="0.4">
      <c r="A1" s="6" t="s">
        <v>380</v>
      </c>
      <c r="B1" s="7"/>
      <c r="C1" s="8"/>
      <c r="D1" s="8"/>
      <c r="E1" s="8"/>
      <c r="F1" s="8"/>
      <c r="G1" s="10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0"/>
    </row>
    <row r="2" spans="1:26" ht="16.5" thickTop="1" thickBot="1" x14ac:dyDescent="0.3">
      <c r="A2" s="12" t="s">
        <v>87</v>
      </c>
      <c r="B2" s="104" t="s">
        <v>389</v>
      </c>
      <c r="C2" s="13"/>
      <c r="D2" s="13"/>
      <c r="E2" s="13"/>
      <c r="F2" s="13"/>
      <c r="G2" s="103"/>
      <c r="H2" s="14"/>
      <c r="I2" s="15" t="s">
        <v>0</v>
      </c>
      <c r="J2" s="16"/>
      <c r="K2" s="17"/>
      <c r="L2" s="17"/>
      <c r="M2" s="18" t="s">
        <v>131</v>
      </c>
      <c r="N2" s="19"/>
      <c r="O2" s="10"/>
      <c r="P2" s="17"/>
      <c r="Q2" s="20" t="s">
        <v>89</v>
      </c>
      <c r="R2" s="21"/>
      <c r="S2" s="21"/>
      <c r="T2" s="22"/>
      <c r="U2" s="17"/>
      <c r="V2" s="17"/>
      <c r="W2" s="17"/>
      <c r="X2" s="17"/>
      <c r="Y2" s="17"/>
      <c r="Z2" s="23"/>
    </row>
    <row r="3" spans="1:26" ht="16.5" thickTop="1" thickBot="1" x14ac:dyDescent="0.3">
      <c r="A3" s="14" t="s">
        <v>34</v>
      </c>
      <c r="B3" s="105" t="s">
        <v>7</v>
      </c>
      <c r="C3" s="13"/>
      <c r="D3" s="13"/>
      <c r="E3" s="13"/>
      <c r="F3" s="13"/>
      <c r="G3" s="103"/>
      <c r="H3" s="14"/>
      <c r="I3" s="14" t="s">
        <v>1</v>
      </c>
      <c r="J3" s="24" t="s">
        <v>2</v>
      </c>
      <c r="K3" s="17"/>
      <c r="L3" s="17"/>
      <c r="M3" s="14" t="s">
        <v>5</v>
      </c>
      <c r="N3" s="25">
        <v>-0.2</v>
      </c>
      <c r="O3" s="23"/>
      <c r="P3" s="17"/>
      <c r="Q3" s="26" t="s">
        <v>3</v>
      </c>
      <c r="R3" s="25"/>
      <c r="S3" s="25"/>
      <c r="T3" s="27"/>
      <c r="U3" s="28" t="s">
        <v>4</v>
      </c>
      <c r="V3" s="17"/>
      <c r="W3" s="17"/>
      <c r="X3" s="17"/>
      <c r="Y3" s="17"/>
      <c r="Z3" s="23"/>
    </row>
    <row r="4" spans="1:26" ht="16.5" thickTop="1" thickBot="1" x14ac:dyDescent="0.3">
      <c r="A4" s="14" t="s">
        <v>37</v>
      </c>
      <c r="B4" s="105">
        <v>4</v>
      </c>
      <c r="C4" s="17"/>
      <c r="D4" s="17"/>
      <c r="E4" s="17"/>
      <c r="F4" s="17"/>
      <c r="G4" s="32"/>
      <c r="H4" s="14"/>
      <c r="I4" s="29" t="s">
        <v>6</v>
      </c>
      <c r="J4" s="30">
        <f>VLOOKUP(J3,M2:N11,2,FALSE)</f>
        <v>-1.8</v>
      </c>
      <c r="K4" s="17"/>
      <c r="L4" s="17"/>
      <c r="M4" s="14" t="s">
        <v>9</v>
      </c>
      <c r="N4" s="25">
        <v>-1.2</v>
      </c>
      <c r="O4" s="23"/>
      <c r="P4" s="17"/>
      <c r="Q4" s="26" t="s">
        <v>7</v>
      </c>
      <c r="R4" s="25"/>
      <c r="S4" s="25"/>
      <c r="T4" s="27"/>
      <c r="U4" s="28" t="s">
        <v>8</v>
      </c>
      <c r="V4" s="17"/>
      <c r="W4" s="17"/>
      <c r="X4" s="17"/>
      <c r="Y4" s="17"/>
      <c r="Z4" s="23"/>
    </row>
    <row r="5" spans="1:26" ht="16.5" thickTop="1" thickBot="1" x14ac:dyDescent="0.3">
      <c r="A5" s="14" t="s">
        <v>39</v>
      </c>
      <c r="B5" s="105">
        <v>2</v>
      </c>
      <c r="C5" s="17"/>
      <c r="D5" s="17"/>
      <c r="E5" s="17"/>
      <c r="F5" s="17"/>
      <c r="G5" s="32"/>
      <c r="H5" s="14"/>
      <c r="I5" s="17"/>
      <c r="J5" s="17"/>
      <c r="K5" s="17"/>
      <c r="L5" s="17"/>
      <c r="M5" s="14"/>
      <c r="N5" s="25"/>
      <c r="O5" s="23"/>
      <c r="P5" s="17"/>
      <c r="Q5" s="26"/>
      <c r="R5" s="25"/>
      <c r="S5" s="25"/>
      <c r="T5" s="27"/>
      <c r="U5" s="28"/>
      <c r="V5" s="17"/>
      <c r="W5" s="17"/>
      <c r="X5" s="17"/>
      <c r="Y5" s="17"/>
      <c r="Z5" s="23"/>
    </row>
    <row r="6" spans="1:26" ht="17.25" thickTop="1" thickBot="1" x14ac:dyDescent="0.3">
      <c r="A6" s="14" t="s">
        <v>42</v>
      </c>
      <c r="B6" s="105" t="s">
        <v>44</v>
      </c>
      <c r="C6" s="17"/>
      <c r="D6" s="17"/>
      <c r="E6" s="17"/>
      <c r="F6" s="17"/>
      <c r="G6" s="32"/>
      <c r="H6" s="14"/>
      <c r="I6" s="31" t="s">
        <v>11</v>
      </c>
      <c r="J6" s="25"/>
      <c r="K6" s="25"/>
      <c r="L6" s="25"/>
      <c r="M6" s="14" t="s">
        <v>2</v>
      </c>
      <c r="N6" s="25">
        <v>-1.8</v>
      </c>
      <c r="O6" s="32"/>
      <c r="P6" s="25"/>
      <c r="Q6" s="26" t="s">
        <v>12</v>
      </c>
      <c r="R6" s="25"/>
      <c r="S6" s="25"/>
      <c r="T6" s="27"/>
      <c r="U6" s="28" t="s">
        <v>13</v>
      </c>
      <c r="V6" s="17"/>
      <c r="W6" s="17"/>
      <c r="X6" s="17"/>
      <c r="Y6" s="17"/>
      <c r="Z6" s="23"/>
    </row>
    <row r="7" spans="1:26" ht="16.5" thickTop="1" thickBot="1" x14ac:dyDescent="0.3">
      <c r="A7" s="14" t="s">
        <v>45</v>
      </c>
      <c r="B7" s="105" t="s">
        <v>35</v>
      </c>
      <c r="C7" s="17"/>
      <c r="D7" s="17"/>
      <c r="E7" s="17"/>
      <c r="F7" s="17"/>
      <c r="G7" s="32"/>
      <c r="H7" s="12"/>
      <c r="I7" s="15" t="s">
        <v>14</v>
      </c>
      <c r="J7" s="33"/>
      <c r="K7" s="16"/>
      <c r="L7" s="25"/>
      <c r="M7" s="14" t="s">
        <v>17</v>
      </c>
      <c r="N7" s="25">
        <v>-2.2000000000000002</v>
      </c>
      <c r="O7" s="32"/>
      <c r="P7" s="25"/>
      <c r="Q7" s="34" t="s">
        <v>15</v>
      </c>
      <c r="R7" s="35"/>
      <c r="S7" s="35"/>
      <c r="T7" s="36"/>
      <c r="U7" s="28" t="s">
        <v>16</v>
      </c>
      <c r="V7" s="17"/>
      <c r="W7" s="17"/>
      <c r="X7" s="17"/>
      <c r="Y7" s="17"/>
      <c r="Z7" s="23"/>
    </row>
    <row r="8" spans="1:26" ht="16.5" thickTop="1" thickBot="1" x14ac:dyDescent="0.3">
      <c r="A8" s="14" t="s">
        <v>88</v>
      </c>
      <c r="B8" s="105" t="s">
        <v>49</v>
      </c>
      <c r="C8" s="17"/>
      <c r="D8" s="17"/>
      <c r="E8" s="17"/>
      <c r="F8" s="17"/>
      <c r="G8" s="23"/>
      <c r="H8" s="12"/>
      <c r="I8" s="14" t="s">
        <v>65</v>
      </c>
      <c r="J8" s="37">
        <v>4.95</v>
      </c>
      <c r="K8" s="24"/>
      <c r="L8" s="25"/>
      <c r="M8" s="14" t="s">
        <v>19</v>
      </c>
      <c r="N8" s="25">
        <v>-3.4</v>
      </c>
      <c r="O8" s="32"/>
      <c r="P8" s="25"/>
      <c r="Q8" s="38">
        <v>1</v>
      </c>
      <c r="R8" s="39"/>
      <c r="S8" s="39"/>
      <c r="T8" s="40"/>
      <c r="U8" s="28" t="s">
        <v>18</v>
      </c>
      <c r="V8" s="17"/>
      <c r="W8" s="17"/>
      <c r="X8" s="17"/>
      <c r="Y8" s="17"/>
      <c r="Z8" s="23"/>
    </row>
    <row r="9" spans="1:26" ht="16.5" thickTop="1" thickBot="1" x14ac:dyDescent="0.3">
      <c r="A9" s="14" t="s">
        <v>50</v>
      </c>
      <c r="B9" s="105" t="s">
        <v>65</v>
      </c>
      <c r="C9" s="17"/>
      <c r="D9" s="17"/>
      <c r="E9" s="17"/>
      <c r="F9" s="17"/>
      <c r="G9" s="23"/>
      <c r="H9" s="12"/>
      <c r="I9" s="29" t="s">
        <v>20</v>
      </c>
      <c r="J9" s="41">
        <v>2.95</v>
      </c>
      <c r="K9" s="30"/>
      <c r="L9" s="25"/>
      <c r="M9" s="14" t="s">
        <v>22</v>
      </c>
      <c r="N9" s="25">
        <v>-3.4</v>
      </c>
      <c r="O9" s="32"/>
      <c r="P9" s="25"/>
      <c r="Q9" s="26">
        <v>2</v>
      </c>
      <c r="R9" s="25"/>
      <c r="S9" s="25"/>
      <c r="T9" s="27"/>
      <c r="U9" s="25" t="s">
        <v>21</v>
      </c>
      <c r="V9" s="17"/>
      <c r="W9" s="17"/>
      <c r="X9" s="17"/>
      <c r="Y9" s="17"/>
      <c r="Z9" s="23"/>
    </row>
    <row r="10" spans="1:26" ht="16.5" thickTop="1" thickBot="1" x14ac:dyDescent="0.3">
      <c r="A10" s="14" t="s">
        <v>90</v>
      </c>
      <c r="B10" s="105" t="s">
        <v>78</v>
      </c>
      <c r="C10" s="17"/>
      <c r="D10" s="17"/>
      <c r="E10" s="17"/>
      <c r="F10" s="17"/>
      <c r="G10" s="23"/>
      <c r="H10" s="12"/>
      <c r="I10" s="15" t="s">
        <v>23</v>
      </c>
      <c r="J10" s="42" t="s">
        <v>24</v>
      </c>
      <c r="K10" s="16" t="s">
        <v>25</v>
      </c>
      <c r="L10" s="25"/>
      <c r="M10" s="14" t="s">
        <v>28</v>
      </c>
      <c r="N10" s="25">
        <v>-3.9</v>
      </c>
      <c r="O10" s="32"/>
      <c r="P10" s="25"/>
      <c r="Q10" s="26">
        <v>3</v>
      </c>
      <c r="R10" s="25"/>
      <c r="S10" s="25"/>
      <c r="T10" s="27"/>
      <c r="U10" s="25" t="s">
        <v>27</v>
      </c>
      <c r="V10" s="17"/>
      <c r="W10" s="17"/>
      <c r="X10" s="17"/>
      <c r="Y10" s="17"/>
      <c r="Z10" s="23"/>
    </row>
    <row r="11" spans="1:26" ht="16.5" thickTop="1" thickBot="1" x14ac:dyDescent="0.3">
      <c r="A11" s="14" t="s">
        <v>106</v>
      </c>
      <c r="B11" s="105" t="s">
        <v>47</v>
      </c>
      <c r="C11" s="17"/>
      <c r="D11" s="17"/>
      <c r="E11" s="17"/>
      <c r="F11" s="17"/>
      <c r="G11" s="23"/>
      <c r="H11" s="12"/>
      <c r="I11" s="14" t="s">
        <v>29</v>
      </c>
      <c r="J11" s="37">
        <v>0.45</v>
      </c>
      <c r="K11" s="24">
        <v>0.45</v>
      </c>
      <c r="L11" s="25"/>
      <c r="M11" s="29" t="s">
        <v>30</v>
      </c>
      <c r="N11" s="43">
        <v>-0.2</v>
      </c>
      <c r="O11" s="44"/>
      <c r="P11" s="25"/>
      <c r="Q11" s="26">
        <v>4</v>
      </c>
      <c r="R11" s="25"/>
      <c r="S11" s="25"/>
      <c r="T11" s="27"/>
      <c r="U11" s="17"/>
      <c r="V11" s="17"/>
      <c r="W11" s="17"/>
      <c r="X11" s="17"/>
      <c r="Y11" s="17"/>
      <c r="Z11" s="23"/>
    </row>
    <row r="12" spans="1:26" ht="17.25" thickTop="1" thickBot="1" x14ac:dyDescent="0.3">
      <c r="A12" s="12" t="s">
        <v>102</v>
      </c>
      <c r="B12" s="105"/>
      <c r="C12" s="17"/>
      <c r="D12" s="17"/>
      <c r="E12" s="17"/>
      <c r="F12" s="17"/>
      <c r="G12" s="23"/>
      <c r="H12" s="12"/>
      <c r="I12" s="14" t="s">
        <v>31</v>
      </c>
      <c r="J12" s="37">
        <v>0.75</v>
      </c>
      <c r="K12" s="24">
        <v>0.75</v>
      </c>
      <c r="L12" s="31"/>
      <c r="M12" s="31"/>
      <c r="N12" s="31"/>
      <c r="O12" s="31"/>
      <c r="P12" s="31"/>
      <c r="Q12" s="34">
        <v>5</v>
      </c>
      <c r="R12" s="35"/>
      <c r="S12" s="35"/>
      <c r="T12" s="36"/>
      <c r="U12" s="25" t="s">
        <v>32</v>
      </c>
      <c r="V12" s="17"/>
      <c r="W12" s="17"/>
      <c r="X12" s="17"/>
      <c r="Y12" s="17"/>
      <c r="Z12" s="23"/>
    </row>
    <row r="13" spans="1:26" ht="17.25" thickTop="1" thickBot="1" x14ac:dyDescent="0.3">
      <c r="A13" s="45" t="s">
        <v>103</v>
      </c>
      <c r="B13" s="105"/>
      <c r="C13" s="17"/>
      <c r="D13" s="17"/>
      <c r="E13" s="17"/>
      <c r="F13" s="17"/>
      <c r="G13" s="23"/>
      <c r="H13" s="12"/>
      <c r="I13" s="14" t="s">
        <v>33</v>
      </c>
      <c r="J13" s="37">
        <v>1.1499999999999999</v>
      </c>
      <c r="K13" s="24">
        <v>0.75</v>
      </c>
      <c r="L13" s="31"/>
      <c r="M13" s="31"/>
      <c r="N13" s="31"/>
      <c r="O13" s="31"/>
      <c r="P13" s="31"/>
      <c r="Q13" s="38">
        <v>1</v>
      </c>
      <c r="R13" s="39"/>
      <c r="S13" s="39"/>
      <c r="T13" s="40"/>
      <c r="U13" s="17"/>
      <c r="V13" s="17"/>
      <c r="W13" s="17"/>
      <c r="X13" s="17"/>
      <c r="Y13" s="17"/>
      <c r="Z13" s="23"/>
    </row>
    <row r="14" spans="1:26" ht="17.25" thickTop="1" thickBot="1" x14ac:dyDescent="0.3">
      <c r="A14" s="45" t="s">
        <v>104</v>
      </c>
      <c r="B14" s="105"/>
      <c r="C14" s="17"/>
      <c r="D14" s="17"/>
      <c r="E14" s="17"/>
      <c r="F14" s="17"/>
      <c r="G14" s="23"/>
      <c r="H14" s="12"/>
      <c r="I14" s="14" t="s">
        <v>35</v>
      </c>
      <c r="J14" s="37">
        <v>1.75</v>
      </c>
      <c r="K14" s="24">
        <v>0.75</v>
      </c>
      <c r="L14" s="31"/>
      <c r="M14" s="31"/>
      <c r="N14" s="31"/>
      <c r="O14" s="31"/>
      <c r="P14" s="31"/>
      <c r="Q14" s="26">
        <v>2</v>
      </c>
      <c r="R14" s="25"/>
      <c r="S14" s="25"/>
      <c r="T14" s="27"/>
      <c r="U14" s="17"/>
      <c r="V14" s="17"/>
      <c r="W14" s="17"/>
      <c r="X14" s="17"/>
      <c r="Y14" s="17"/>
      <c r="Z14" s="23"/>
    </row>
    <row r="15" spans="1:26" ht="16.5" thickBot="1" x14ac:dyDescent="0.3">
      <c r="A15" s="12"/>
      <c r="B15" s="46"/>
      <c r="C15" s="17"/>
      <c r="D15" s="17"/>
      <c r="E15" s="17"/>
      <c r="F15" s="17"/>
      <c r="G15" s="23"/>
      <c r="H15" s="12"/>
      <c r="I15" s="29" t="s">
        <v>36</v>
      </c>
      <c r="J15" s="41">
        <v>2.25</v>
      </c>
      <c r="K15" s="30">
        <v>0.75</v>
      </c>
      <c r="L15" s="31"/>
      <c r="M15" s="31"/>
      <c r="N15" s="31"/>
      <c r="O15" s="31"/>
      <c r="P15" s="31"/>
      <c r="Q15" s="26">
        <v>3</v>
      </c>
      <c r="R15" s="25"/>
      <c r="S15" s="25"/>
      <c r="T15" s="27"/>
      <c r="U15" s="17"/>
      <c r="V15" s="17"/>
      <c r="W15" s="17"/>
      <c r="X15" s="17"/>
      <c r="Y15" s="17"/>
      <c r="Z15" s="23"/>
    </row>
    <row r="16" spans="1:26" ht="15.75" customHeight="1" x14ac:dyDescent="0.25">
      <c r="A16" s="110" t="s">
        <v>383</v>
      </c>
      <c r="B16" s="110"/>
      <c r="C16" s="110"/>
      <c r="G16" s="23"/>
      <c r="H16" s="12"/>
      <c r="I16" s="15" t="s">
        <v>38</v>
      </c>
      <c r="J16" s="33"/>
      <c r="K16" s="16"/>
      <c r="L16" s="31"/>
      <c r="M16" s="31"/>
      <c r="N16" s="31"/>
      <c r="O16" s="31"/>
      <c r="P16" s="31"/>
      <c r="Q16" s="26">
        <v>4</v>
      </c>
      <c r="R16" s="25"/>
      <c r="S16" s="25"/>
      <c r="T16" s="27"/>
      <c r="U16" s="17"/>
      <c r="V16" s="17"/>
      <c r="W16" s="17"/>
      <c r="X16" s="17"/>
      <c r="Y16" s="17"/>
      <c r="Z16" s="23"/>
    </row>
    <row r="17" spans="1:26" ht="16.5" thickBot="1" x14ac:dyDescent="0.3">
      <c r="A17" s="45" t="s">
        <v>91</v>
      </c>
      <c r="B17" s="48">
        <f>ROUNDUP((J56*0.00118),2)</f>
        <v>25.71</v>
      </c>
      <c r="C17" s="17" t="s">
        <v>105</v>
      </c>
      <c r="D17" s="17"/>
      <c r="E17" s="17"/>
      <c r="F17" s="17"/>
      <c r="G17" s="23"/>
      <c r="H17" s="12"/>
      <c r="I17" s="14" t="s">
        <v>29</v>
      </c>
      <c r="J17" s="37">
        <v>0.28000000000000003</v>
      </c>
      <c r="K17" s="24"/>
      <c r="L17" s="31"/>
      <c r="M17" s="31"/>
      <c r="N17" s="31"/>
      <c r="O17" s="31"/>
      <c r="P17" s="31"/>
      <c r="Q17" s="34">
        <v>5</v>
      </c>
      <c r="R17" s="35"/>
      <c r="S17" s="35"/>
      <c r="T17" s="36"/>
      <c r="U17" s="17"/>
      <c r="V17" s="17"/>
      <c r="W17" s="17"/>
      <c r="X17" s="17"/>
      <c r="Y17" s="17"/>
      <c r="Z17" s="23"/>
    </row>
    <row r="18" spans="1:26" ht="15.75" x14ac:dyDescent="0.25">
      <c r="A18" s="45" t="s">
        <v>382</v>
      </c>
      <c r="B18" s="48">
        <f>(B4+1)*55</f>
        <v>275</v>
      </c>
      <c r="C18" s="17" t="s">
        <v>75</v>
      </c>
      <c r="D18" s="17"/>
      <c r="E18" s="17"/>
      <c r="F18" s="17"/>
      <c r="G18" s="23"/>
      <c r="H18" s="12"/>
      <c r="I18" s="14" t="s">
        <v>31</v>
      </c>
      <c r="J18" s="37">
        <v>0.41</v>
      </c>
      <c r="K18" s="24"/>
      <c r="L18" s="31"/>
      <c r="M18" s="31"/>
      <c r="N18" s="31"/>
      <c r="O18" s="31"/>
      <c r="P18" s="31"/>
      <c r="Q18" s="38" t="s">
        <v>40</v>
      </c>
      <c r="R18" s="39">
        <v>150</v>
      </c>
      <c r="S18" s="39"/>
      <c r="T18" s="40"/>
      <c r="U18" s="17"/>
      <c r="V18" s="17"/>
      <c r="W18" s="17"/>
      <c r="X18" s="17"/>
      <c r="Y18" s="17"/>
      <c r="Z18" s="23"/>
    </row>
    <row r="19" spans="1:26" ht="15.75" x14ac:dyDescent="0.25">
      <c r="A19" s="45" t="s">
        <v>92</v>
      </c>
      <c r="B19" s="49" t="str">
        <f>VLOOKUP(B17,Q49:R54,2)</f>
        <v>call for more info</v>
      </c>
      <c r="C19" s="17"/>
      <c r="D19" s="17"/>
      <c r="E19" s="17"/>
      <c r="F19" s="17"/>
      <c r="G19" s="23"/>
      <c r="H19" s="12"/>
      <c r="I19" s="14" t="s">
        <v>33</v>
      </c>
      <c r="J19" s="37">
        <v>0.53</v>
      </c>
      <c r="K19" s="24"/>
      <c r="L19" s="31"/>
      <c r="M19" s="31"/>
      <c r="N19" s="31"/>
      <c r="O19" s="31"/>
      <c r="P19" s="31"/>
      <c r="Q19" s="26" t="s">
        <v>41</v>
      </c>
      <c r="R19" s="25">
        <v>200</v>
      </c>
      <c r="S19" s="25"/>
      <c r="T19" s="27"/>
      <c r="U19" s="17"/>
      <c r="V19" s="17"/>
      <c r="W19" s="17"/>
      <c r="X19" s="17"/>
      <c r="Y19" s="17"/>
      <c r="Z19" s="23"/>
    </row>
    <row r="20" spans="1:26" ht="15.75" x14ac:dyDescent="0.25">
      <c r="A20" s="108" t="s">
        <v>390</v>
      </c>
      <c r="B20" s="107">
        <v>5000</v>
      </c>
      <c r="C20" s="17"/>
      <c r="F20" s="17"/>
      <c r="G20" s="23"/>
      <c r="H20" s="12"/>
      <c r="I20" s="14" t="s">
        <v>35</v>
      </c>
      <c r="J20" s="37">
        <v>0.75</v>
      </c>
      <c r="K20" s="24"/>
      <c r="L20" s="31"/>
      <c r="M20" s="31"/>
      <c r="N20" s="31"/>
      <c r="O20" s="31"/>
      <c r="P20" s="31"/>
      <c r="Q20" s="26" t="s">
        <v>44</v>
      </c>
      <c r="R20" s="25">
        <v>229</v>
      </c>
      <c r="S20" s="25"/>
      <c r="T20" s="27"/>
      <c r="U20" s="17"/>
      <c r="V20" s="17"/>
      <c r="W20" s="17"/>
      <c r="X20" s="17"/>
      <c r="Y20" s="17"/>
      <c r="Z20" s="23"/>
    </row>
    <row r="21" spans="1:26" ht="15.75" thickBot="1" x14ac:dyDescent="0.3">
      <c r="A21" s="45" t="s">
        <v>381</v>
      </c>
      <c r="B21" s="50">
        <f>J60*0.16</f>
        <v>2805.0991909925933</v>
      </c>
      <c r="C21" s="17"/>
      <c r="D21" s="17"/>
      <c r="E21" s="17"/>
      <c r="F21" s="17"/>
      <c r="G21" s="23"/>
      <c r="H21" s="12"/>
      <c r="I21" s="29" t="s">
        <v>36</v>
      </c>
      <c r="J21" s="41">
        <v>1.9</v>
      </c>
      <c r="K21" s="30"/>
      <c r="L21" s="25"/>
      <c r="M21" s="25"/>
      <c r="N21" s="25"/>
      <c r="O21" s="25"/>
      <c r="P21" s="25"/>
      <c r="Q21" s="26" t="s">
        <v>43</v>
      </c>
      <c r="R21" s="25">
        <v>300</v>
      </c>
      <c r="S21" s="25"/>
      <c r="T21" s="27"/>
      <c r="U21" s="17"/>
      <c r="V21" s="17"/>
      <c r="W21" s="17"/>
      <c r="X21" s="17"/>
      <c r="Y21" s="17"/>
      <c r="Z21" s="23"/>
    </row>
    <row r="22" spans="1:26" ht="15.75" thickBot="1" x14ac:dyDescent="0.3">
      <c r="A22" s="45" t="s">
        <v>94</v>
      </c>
      <c r="B22" s="48">
        <f>VLOOKUP(B8,Q33:R36,2)*100</f>
        <v>11</v>
      </c>
      <c r="C22" s="17" t="s">
        <v>97</v>
      </c>
      <c r="D22" s="17"/>
      <c r="E22" s="17"/>
      <c r="F22" s="17"/>
      <c r="G22" s="23"/>
      <c r="H22" s="12"/>
      <c r="I22" s="15" t="s">
        <v>46</v>
      </c>
      <c r="J22" s="42" t="s">
        <v>24</v>
      </c>
      <c r="K22" s="51" t="s">
        <v>47</v>
      </c>
      <c r="L22" s="25"/>
      <c r="M22" s="25"/>
      <c r="N22" s="25"/>
      <c r="O22" s="25"/>
      <c r="P22" s="25"/>
      <c r="Q22" s="34" t="s">
        <v>48</v>
      </c>
      <c r="R22" s="35">
        <v>400</v>
      </c>
      <c r="S22" s="35"/>
      <c r="T22" s="36"/>
      <c r="U22" s="17"/>
      <c r="V22" s="17"/>
      <c r="W22" s="17"/>
      <c r="X22" s="17"/>
      <c r="Y22" s="17"/>
      <c r="Z22" s="23"/>
    </row>
    <row r="23" spans="1:26" x14ac:dyDescent="0.25">
      <c r="A23" s="45" t="s">
        <v>94</v>
      </c>
      <c r="B23" s="49">
        <f>(B22/100)*B21</f>
        <v>308.56091100918525</v>
      </c>
      <c r="C23" s="17" t="s">
        <v>126</v>
      </c>
      <c r="D23" s="17"/>
      <c r="E23" s="17"/>
      <c r="F23" s="17"/>
      <c r="G23" s="23"/>
      <c r="H23" s="12"/>
      <c r="I23" s="14" t="s">
        <v>29</v>
      </c>
      <c r="J23" s="37">
        <v>0.35</v>
      </c>
      <c r="K23" s="24">
        <v>0.35</v>
      </c>
      <c r="L23" s="25"/>
      <c r="M23" s="25"/>
      <c r="N23" s="25"/>
      <c r="O23" s="25"/>
      <c r="P23" s="25"/>
      <c r="Q23" s="38" t="s">
        <v>29</v>
      </c>
      <c r="R23" s="39"/>
      <c r="S23" s="39"/>
      <c r="T23" s="40"/>
      <c r="U23" s="17"/>
      <c r="V23" s="17"/>
      <c r="W23" s="17"/>
      <c r="X23" s="17"/>
      <c r="Y23" s="17"/>
      <c r="Z23" s="23"/>
    </row>
    <row r="24" spans="1:26" x14ac:dyDescent="0.25">
      <c r="A24" s="45" t="s">
        <v>95</v>
      </c>
      <c r="B24" s="48">
        <f>VLOOKUP(B8,Q33:S36,3)*J63</f>
        <v>16129.32034820741</v>
      </c>
      <c r="C24" s="17" t="s">
        <v>96</v>
      </c>
      <c r="D24" s="17"/>
      <c r="E24" s="17"/>
      <c r="F24" s="17"/>
      <c r="G24" s="23"/>
      <c r="H24" s="12"/>
      <c r="I24" s="14" t="s">
        <v>31</v>
      </c>
      <c r="J24" s="37">
        <v>0.45</v>
      </c>
      <c r="K24" s="24">
        <v>0.45</v>
      </c>
      <c r="L24" s="25"/>
      <c r="M24" s="25"/>
      <c r="N24" s="25"/>
      <c r="O24" s="25"/>
      <c r="P24" s="25"/>
      <c r="Q24" s="26" t="s">
        <v>31</v>
      </c>
      <c r="R24" s="25"/>
      <c r="S24" s="25"/>
      <c r="T24" s="27"/>
      <c r="U24" s="17"/>
      <c r="V24" s="17"/>
      <c r="W24" s="17"/>
      <c r="X24" s="17"/>
      <c r="Y24" s="17"/>
      <c r="Z24" s="23"/>
    </row>
    <row r="25" spans="1:26" x14ac:dyDescent="0.25">
      <c r="A25" s="45" t="s">
        <v>98</v>
      </c>
      <c r="B25" s="48" t="e">
        <f>(B19-8000)/(B23)</f>
        <v>#VALUE!</v>
      </c>
      <c r="C25" s="17" t="s">
        <v>127</v>
      </c>
      <c r="D25" s="17"/>
      <c r="E25" s="17"/>
      <c r="F25" s="17"/>
      <c r="G25" s="23"/>
      <c r="H25" s="12"/>
      <c r="I25" s="14" t="s">
        <v>33</v>
      </c>
      <c r="J25" s="37">
        <v>0.55000000000000004</v>
      </c>
      <c r="K25" s="24">
        <v>0.45</v>
      </c>
      <c r="L25" s="25"/>
      <c r="M25" s="25"/>
      <c r="N25" s="25"/>
      <c r="O25" s="25"/>
      <c r="P25" s="25"/>
      <c r="Q25" s="26" t="s">
        <v>33</v>
      </c>
      <c r="R25" s="25"/>
      <c r="S25" s="25"/>
      <c r="T25" s="27"/>
      <c r="U25" s="17"/>
      <c r="V25" s="17"/>
      <c r="W25" s="17"/>
      <c r="X25" s="17"/>
      <c r="Y25" s="17"/>
      <c r="Z25" s="23"/>
    </row>
    <row r="26" spans="1:26" x14ac:dyDescent="0.25">
      <c r="A26" s="45" t="s">
        <v>99</v>
      </c>
      <c r="B26" s="46"/>
      <c r="C26" s="17"/>
      <c r="D26" s="17"/>
      <c r="E26" s="46"/>
      <c r="F26" s="17"/>
      <c r="G26" s="23"/>
      <c r="H26" s="12"/>
      <c r="I26" s="14" t="s">
        <v>35</v>
      </c>
      <c r="J26" s="37">
        <v>0.83</v>
      </c>
      <c r="K26" s="24">
        <v>0.45</v>
      </c>
      <c r="L26" s="25"/>
      <c r="M26" s="25"/>
      <c r="N26" s="25"/>
      <c r="O26" s="25"/>
      <c r="P26" s="25"/>
      <c r="Q26" s="26" t="s">
        <v>35</v>
      </c>
      <c r="R26" s="25"/>
      <c r="S26" s="25"/>
      <c r="T26" s="27"/>
      <c r="U26" s="17"/>
      <c r="V26" s="17"/>
      <c r="W26" s="17"/>
      <c r="X26" s="17"/>
      <c r="Y26" s="17"/>
      <c r="Z26" s="23"/>
    </row>
    <row r="27" spans="1:26" ht="15.75" thickBot="1" x14ac:dyDescent="0.3">
      <c r="A27" s="12"/>
      <c r="B27" s="46"/>
      <c r="C27" s="17"/>
      <c r="D27" s="17"/>
      <c r="E27" s="17"/>
      <c r="F27" s="17"/>
      <c r="G27" s="23"/>
      <c r="H27" s="12"/>
      <c r="I27" s="29" t="s">
        <v>36</v>
      </c>
      <c r="J27" s="41">
        <v>1.65</v>
      </c>
      <c r="K27" s="30">
        <v>0.45</v>
      </c>
      <c r="L27" s="25"/>
      <c r="M27" s="25"/>
      <c r="N27" s="25"/>
      <c r="O27" s="25"/>
      <c r="P27" s="25"/>
      <c r="Q27" s="34" t="s">
        <v>36</v>
      </c>
      <c r="R27" s="35"/>
      <c r="S27" s="35"/>
      <c r="T27" s="36"/>
      <c r="U27" s="17"/>
      <c r="V27" s="17"/>
      <c r="W27" s="17"/>
      <c r="X27" s="17"/>
      <c r="Y27" s="17"/>
      <c r="Z27" s="23"/>
    </row>
    <row r="28" spans="1:26" x14ac:dyDescent="0.25">
      <c r="A28" s="14" t="s">
        <v>130</v>
      </c>
      <c r="B28" s="17"/>
      <c r="C28" s="17"/>
      <c r="D28" s="17"/>
      <c r="E28" s="17"/>
      <c r="F28" s="17"/>
      <c r="G28" s="23"/>
      <c r="H28" s="12"/>
      <c r="I28" s="15" t="s">
        <v>51</v>
      </c>
      <c r="J28" s="33" t="s">
        <v>52</v>
      </c>
      <c r="K28" s="16"/>
      <c r="L28" s="25"/>
      <c r="M28" s="25"/>
      <c r="N28" s="25"/>
      <c r="O28" s="25"/>
      <c r="P28" s="25"/>
      <c r="Q28" s="38" t="s">
        <v>47</v>
      </c>
      <c r="R28" s="39"/>
      <c r="S28" s="39"/>
      <c r="T28" s="40"/>
      <c r="U28" s="17"/>
      <c r="V28" s="17"/>
      <c r="W28" s="17"/>
      <c r="X28" s="17"/>
      <c r="Y28" s="17"/>
      <c r="Z28" s="23"/>
    </row>
    <row r="29" spans="1:26" x14ac:dyDescent="0.25">
      <c r="A29" s="12" t="s">
        <v>385</v>
      </c>
      <c r="B29" s="46"/>
      <c r="C29" s="17"/>
      <c r="D29" s="17"/>
      <c r="E29" s="17"/>
      <c r="F29" s="17"/>
      <c r="G29" s="23"/>
      <c r="H29" s="12"/>
      <c r="I29" s="14" t="s">
        <v>29</v>
      </c>
      <c r="J29" s="37">
        <v>0.7</v>
      </c>
      <c r="K29" s="24"/>
      <c r="L29" s="25"/>
      <c r="M29" s="25"/>
      <c r="N29" s="25"/>
      <c r="O29" s="25"/>
      <c r="P29" s="25"/>
      <c r="Q29" s="26" t="s">
        <v>25</v>
      </c>
      <c r="R29" s="25"/>
      <c r="S29" s="25"/>
      <c r="T29" s="27"/>
      <c r="U29" s="17"/>
      <c r="V29" s="17"/>
      <c r="W29" s="17"/>
      <c r="X29" s="17"/>
      <c r="Y29" s="17"/>
      <c r="Z29" s="23"/>
    </row>
    <row r="30" spans="1:26" ht="15.75" thickBot="1" x14ac:dyDescent="0.3">
      <c r="A30" s="29" t="s">
        <v>129</v>
      </c>
      <c r="B30" s="52"/>
      <c r="C30" s="53"/>
      <c r="D30" s="53"/>
      <c r="E30" s="53"/>
      <c r="F30" s="53"/>
      <c r="G30" s="83"/>
      <c r="H30" s="12"/>
      <c r="I30" s="14" t="s">
        <v>31</v>
      </c>
      <c r="J30" s="37">
        <v>1.5</v>
      </c>
      <c r="K30" s="24"/>
      <c r="L30" s="25"/>
      <c r="M30" s="25"/>
      <c r="N30" s="25"/>
      <c r="O30" s="25"/>
      <c r="P30" s="25"/>
      <c r="Q30" s="26" t="s">
        <v>26</v>
      </c>
      <c r="R30" s="25"/>
      <c r="S30" s="25"/>
      <c r="T30" s="27"/>
      <c r="U30" s="17"/>
      <c r="V30" s="17"/>
      <c r="W30" s="17"/>
      <c r="X30" s="17"/>
      <c r="Y30" s="17"/>
      <c r="Z30" s="23"/>
    </row>
    <row r="31" spans="1:26" ht="15.75" thickBot="1" x14ac:dyDescent="0.3">
      <c r="G31" s="17"/>
      <c r="H31" s="12"/>
      <c r="I31" s="14" t="s">
        <v>33</v>
      </c>
      <c r="J31" s="37">
        <v>1.5</v>
      </c>
      <c r="K31" s="24"/>
      <c r="L31" s="25"/>
      <c r="M31" s="25"/>
      <c r="N31" s="25"/>
      <c r="O31" s="25"/>
      <c r="P31" s="25"/>
      <c r="Q31" s="34" t="s">
        <v>24</v>
      </c>
      <c r="R31" s="35"/>
      <c r="S31" s="35"/>
      <c r="T31" s="36"/>
      <c r="U31" s="17"/>
      <c r="V31" s="17"/>
      <c r="W31" s="17"/>
      <c r="X31" s="17"/>
      <c r="Y31" s="17"/>
      <c r="Z31" s="23"/>
    </row>
    <row r="32" spans="1:26" ht="15.75" thickBot="1" x14ac:dyDescent="0.3">
      <c r="G32" s="17"/>
      <c r="H32" s="12"/>
      <c r="I32" s="14" t="s">
        <v>35</v>
      </c>
      <c r="J32" s="37">
        <v>1.5</v>
      </c>
      <c r="K32" s="24"/>
      <c r="L32" s="25"/>
      <c r="M32" s="25"/>
      <c r="N32" s="25"/>
      <c r="O32" s="25"/>
      <c r="P32" s="25"/>
      <c r="Q32" s="26"/>
      <c r="R32" s="25" t="s">
        <v>121</v>
      </c>
      <c r="S32" s="25" t="s">
        <v>122</v>
      </c>
      <c r="T32" s="27"/>
      <c r="U32" s="17"/>
      <c r="V32" s="17"/>
      <c r="W32" s="17"/>
      <c r="X32" s="17"/>
      <c r="Y32" s="17"/>
      <c r="Z32" s="23"/>
    </row>
    <row r="33" spans="7:26" ht="15.75" hidden="1" thickBot="1" x14ac:dyDescent="0.3">
      <c r="G33" s="17"/>
      <c r="H33" s="12"/>
      <c r="I33" s="14" t="s">
        <v>36</v>
      </c>
      <c r="J33" s="37">
        <v>1.5</v>
      </c>
      <c r="K33" s="24"/>
      <c r="L33" s="28"/>
      <c r="M33" s="28"/>
      <c r="N33" s="28"/>
      <c r="O33" s="28"/>
      <c r="P33" s="28"/>
      <c r="Q33" s="38" t="s">
        <v>49</v>
      </c>
      <c r="R33" s="55">
        <v>0.11</v>
      </c>
      <c r="S33" s="39">
        <v>2.2999999999999998</v>
      </c>
      <c r="T33" s="40"/>
      <c r="U33" s="17"/>
      <c r="V33" s="17"/>
      <c r="W33" s="17"/>
      <c r="X33" s="17"/>
      <c r="Y33" s="17"/>
      <c r="Z33" s="23"/>
    </row>
    <row r="34" spans="7:26" ht="15.75" hidden="1" thickBot="1" x14ac:dyDescent="0.3">
      <c r="G34" s="17"/>
      <c r="H34" s="12"/>
      <c r="I34" s="15" t="s">
        <v>60</v>
      </c>
      <c r="J34" s="33" t="s">
        <v>61</v>
      </c>
      <c r="K34" s="33" t="s">
        <v>62</v>
      </c>
      <c r="L34" s="33" t="s">
        <v>63</v>
      </c>
      <c r="M34" s="33" t="s">
        <v>64</v>
      </c>
      <c r="N34" s="33"/>
      <c r="O34" s="16"/>
      <c r="P34" s="28"/>
      <c r="Q34" s="26" t="s">
        <v>56</v>
      </c>
      <c r="R34" s="56">
        <v>0.28000000000000003</v>
      </c>
      <c r="S34" s="25">
        <v>3.9</v>
      </c>
      <c r="T34" s="27"/>
      <c r="U34" s="17"/>
      <c r="V34" s="17"/>
      <c r="W34" s="17"/>
      <c r="X34" s="17"/>
      <c r="Y34" s="17"/>
      <c r="Z34" s="23"/>
    </row>
    <row r="35" spans="7:26" ht="15.75" hidden="1" thickBot="1" x14ac:dyDescent="0.3">
      <c r="G35" s="17"/>
      <c r="H35" s="12"/>
      <c r="I35" s="57" t="s">
        <v>3</v>
      </c>
      <c r="J35" s="37">
        <v>0.5</v>
      </c>
      <c r="K35" s="37">
        <v>0.3</v>
      </c>
      <c r="L35" s="37">
        <v>0.25</v>
      </c>
      <c r="M35" s="37">
        <v>0.6</v>
      </c>
      <c r="N35" s="37"/>
      <c r="O35" s="24"/>
      <c r="P35" s="28"/>
      <c r="Q35" s="26" t="s">
        <v>58</v>
      </c>
      <c r="R35" s="56">
        <v>0.67</v>
      </c>
      <c r="S35" s="25">
        <v>3</v>
      </c>
      <c r="T35" s="27"/>
      <c r="U35" s="17"/>
      <c r="V35" s="17"/>
      <c r="W35" s="17"/>
      <c r="X35" s="17"/>
      <c r="Y35" s="17"/>
      <c r="Z35" s="23"/>
    </row>
    <row r="36" spans="7:26" ht="15.75" hidden="1" thickBot="1" x14ac:dyDescent="0.3">
      <c r="G36" s="17"/>
      <c r="H36" s="12"/>
      <c r="I36" s="14" t="s">
        <v>7</v>
      </c>
      <c r="J36" s="37">
        <v>0.5</v>
      </c>
      <c r="K36" s="37">
        <v>0.3</v>
      </c>
      <c r="L36" s="37">
        <v>0.3</v>
      </c>
      <c r="M36" s="37">
        <v>0.6</v>
      </c>
      <c r="N36" s="37"/>
      <c r="O36" s="24"/>
      <c r="P36" s="28"/>
      <c r="Q36" s="34" t="s">
        <v>59</v>
      </c>
      <c r="R36" s="58">
        <v>0.15</v>
      </c>
      <c r="S36" s="35">
        <v>2.2999999999999998</v>
      </c>
      <c r="T36" s="36"/>
      <c r="U36" s="17"/>
      <c r="V36" s="17"/>
      <c r="W36" s="17"/>
      <c r="X36" s="17"/>
      <c r="Y36" s="17"/>
      <c r="Z36" s="23"/>
    </row>
    <row r="37" spans="7:26" ht="15.75" hidden="1" thickBot="1" x14ac:dyDescent="0.3">
      <c r="G37" s="17"/>
      <c r="H37" s="12"/>
      <c r="I37" s="14" t="s">
        <v>86</v>
      </c>
      <c r="J37" s="37">
        <v>1</v>
      </c>
      <c r="K37" s="37">
        <v>0.6</v>
      </c>
      <c r="L37" s="37">
        <v>0.2</v>
      </c>
      <c r="M37" s="37">
        <v>0.4</v>
      </c>
      <c r="N37" s="37"/>
      <c r="O37" s="24"/>
      <c r="P37" s="28"/>
      <c r="Q37" s="38" t="s">
        <v>20</v>
      </c>
      <c r="R37" s="39"/>
      <c r="S37" s="39"/>
      <c r="T37" s="40"/>
      <c r="U37" s="17"/>
      <c r="V37" s="17"/>
      <c r="W37" s="17"/>
      <c r="X37" s="17"/>
      <c r="Y37" s="17"/>
      <c r="Z37" s="23"/>
    </row>
    <row r="38" spans="7:26" ht="15.75" hidden="1" thickBot="1" x14ac:dyDescent="0.3">
      <c r="G38" s="17"/>
      <c r="H38" s="12"/>
      <c r="I38" s="14" t="s">
        <v>12</v>
      </c>
      <c r="J38" s="37">
        <v>1</v>
      </c>
      <c r="K38" s="37">
        <v>0.6</v>
      </c>
      <c r="L38" s="37">
        <v>0.2</v>
      </c>
      <c r="M38" s="37">
        <v>0.4</v>
      </c>
      <c r="N38" s="37"/>
      <c r="O38" s="24"/>
      <c r="P38" s="28"/>
      <c r="Q38" s="34" t="s">
        <v>65</v>
      </c>
      <c r="R38" s="35"/>
      <c r="S38" s="35"/>
      <c r="T38" s="36"/>
      <c r="U38" s="17"/>
      <c r="V38" s="17"/>
      <c r="W38" s="17"/>
      <c r="X38" s="17"/>
      <c r="Y38" s="17"/>
      <c r="Z38" s="23"/>
    </row>
    <row r="39" spans="7:26" ht="15.75" hidden="1" thickBot="1" x14ac:dyDescent="0.3">
      <c r="G39" s="17"/>
      <c r="H39" s="12"/>
      <c r="I39" s="29" t="s">
        <v>15</v>
      </c>
      <c r="J39" s="41">
        <v>0.5</v>
      </c>
      <c r="K39" s="41">
        <v>0.3</v>
      </c>
      <c r="L39" s="41">
        <v>0.2</v>
      </c>
      <c r="M39" s="41">
        <v>0.4</v>
      </c>
      <c r="N39" s="41"/>
      <c r="O39" s="30"/>
      <c r="P39" s="28"/>
      <c r="Q39" s="17"/>
      <c r="R39" s="17"/>
      <c r="S39" s="17"/>
      <c r="T39" s="17"/>
      <c r="U39" s="17"/>
      <c r="V39" s="17"/>
      <c r="W39" s="17"/>
      <c r="X39" s="17"/>
      <c r="Y39" s="17"/>
      <c r="Z39" s="23"/>
    </row>
    <row r="40" spans="7:26" ht="15.75" hidden="1" thickBot="1" x14ac:dyDescent="0.3">
      <c r="G40" s="17"/>
      <c r="H40" s="12"/>
      <c r="I40" s="28"/>
      <c r="J40" s="28"/>
      <c r="K40" s="28"/>
      <c r="L40" s="28"/>
      <c r="M40" s="28"/>
      <c r="N40" s="28"/>
      <c r="O40" s="28"/>
      <c r="P40" s="28"/>
      <c r="Q40" s="38" t="s">
        <v>69</v>
      </c>
      <c r="R40" s="39"/>
      <c r="S40" s="39"/>
      <c r="T40" s="40"/>
      <c r="U40" s="17"/>
      <c r="V40" s="17"/>
      <c r="W40" s="17"/>
      <c r="X40" s="17"/>
      <c r="Y40" s="17"/>
      <c r="Z40" s="23"/>
    </row>
    <row r="41" spans="7:26" ht="15.75" hidden="1" thickBot="1" x14ac:dyDescent="0.3">
      <c r="G41" s="17"/>
      <c r="H41" s="12"/>
      <c r="I41" s="59" t="s">
        <v>76</v>
      </c>
      <c r="J41" s="60"/>
      <c r="K41" s="60" t="s">
        <v>77</v>
      </c>
      <c r="L41" s="60" t="s">
        <v>66</v>
      </c>
      <c r="M41" s="61"/>
      <c r="N41" s="61"/>
      <c r="O41" s="62"/>
      <c r="P41" s="28"/>
      <c r="Q41" s="26" t="s">
        <v>71</v>
      </c>
      <c r="R41" s="25"/>
      <c r="S41" s="25"/>
      <c r="T41" s="27"/>
      <c r="U41" s="17"/>
      <c r="V41" s="17"/>
      <c r="W41" s="17"/>
      <c r="X41" s="17"/>
      <c r="Y41" s="17"/>
      <c r="Z41" s="23"/>
    </row>
    <row r="42" spans="7:26" ht="17.25" hidden="1" customHeight="1" thickBot="1" x14ac:dyDescent="0.3">
      <c r="G42" s="17"/>
      <c r="H42" s="12"/>
      <c r="I42" s="63" t="s">
        <v>79</v>
      </c>
      <c r="J42" s="64"/>
      <c r="K42" s="65">
        <f>IF(OR(B11="cavity wall",B11="both"),(VLOOKUP(B7,$I$11:$K$15,3,FALSE)),(VLOOKUP(B7,$I$11:$K$15,2,FALSE)))</f>
        <v>1.75</v>
      </c>
      <c r="L42" s="66">
        <f>J54*VLOOKUP(B3,$I$35:$M$39,5,FALSE)*K42*(21-J4)</f>
        <v>5482.26</v>
      </c>
      <c r="M42" s="67" t="s">
        <v>73</v>
      </c>
      <c r="N42" s="67"/>
      <c r="O42" s="68"/>
      <c r="P42" s="28"/>
      <c r="Q42" s="34" t="s">
        <v>54</v>
      </c>
      <c r="R42" s="35"/>
      <c r="S42" s="35"/>
      <c r="T42" s="36"/>
      <c r="U42" s="17"/>
      <c r="V42" s="17"/>
      <c r="W42" s="17"/>
      <c r="X42" s="17"/>
      <c r="Y42" s="17"/>
      <c r="Z42" s="23"/>
    </row>
    <row r="43" spans="7:26" ht="17.25" hidden="1" customHeight="1" x14ac:dyDescent="0.25">
      <c r="G43" s="17"/>
      <c r="H43" s="12"/>
      <c r="I43" s="63"/>
      <c r="J43" s="64"/>
      <c r="K43" s="69"/>
      <c r="L43" s="70"/>
      <c r="M43" s="67"/>
      <c r="N43" s="67"/>
      <c r="O43" s="68"/>
      <c r="P43" s="28"/>
      <c r="Q43" s="38" t="s">
        <v>55</v>
      </c>
      <c r="R43" s="39"/>
      <c r="S43" s="39"/>
      <c r="T43" s="40"/>
      <c r="U43" s="17"/>
      <c r="V43" s="17"/>
      <c r="W43" s="17"/>
      <c r="X43" s="17"/>
      <c r="Y43" s="17"/>
      <c r="Z43" s="23"/>
    </row>
    <row r="44" spans="7:26" ht="17.25" hidden="1" customHeight="1" x14ac:dyDescent="0.25">
      <c r="G44" s="17"/>
      <c r="H44" s="12"/>
      <c r="I44" s="63" t="s">
        <v>81</v>
      </c>
      <c r="J44" s="64"/>
      <c r="K44" s="65">
        <f>VLOOKUP(B9,$I$8:$J$9,2,FALSE)</f>
        <v>4.95</v>
      </c>
      <c r="L44" s="66">
        <f>(J54*VLOOKUP(B3,$I$35:$M$39,4,FALSE))*K44*(21-$J$4)</f>
        <v>7753.4820000000018</v>
      </c>
      <c r="M44" s="67" t="s">
        <v>73</v>
      </c>
      <c r="N44" s="67"/>
      <c r="O44" s="68"/>
      <c r="P44" s="28"/>
      <c r="Q44" s="26" t="s">
        <v>74</v>
      </c>
      <c r="R44" s="25"/>
      <c r="S44" s="25"/>
      <c r="T44" s="27"/>
      <c r="U44" s="17"/>
      <c r="V44" s="17"/>
      <c r="W44" s="17"/>
      <c r="X44" s="17"/>
      <c r="Y44" s="17"/>
      <c r="Z44" s="23"/>
    </row>
    <row r="45" spans="7:26" ht="17.25" hidden="1" customHeight="1" thickBot="1" x14ac:dyDescent="0.3">
      <c r="G45" s="17"/>
      <c r="H45" s="12"/>
      <c r="I45" s="71"/>
      <c r="J45" s="64"/>
      <c r="K45" s="70"/>
      <c r="L45" s="70"/>
      <c r="M45" s="72"/>
      <c r="N45" s="72"/>
      <c r="O45" s="73"/>
      <c r="P45" s="28"/>
      <c r="Q45" s="34" t="s">
        <v>78</v>
      </c>
      <c r="R45" s="35"/>
      <c r="S45" s="35"/>
      <c r="T45" s="36"/>
      <c r="U45" s="17"/>
      <c r="V45" s="17"/>
      <c r="W45" s="17"/>
      <c r="X45" s="17"/>
      <c r="Y45" s="17"/>
      <c r="Z45" s="23"/>
    </row>
    <row r="46" spans="7:26" ht="17.25" hidden="1" customHeight="1" x14ac:dyDescent="0.25">
      <c r="G46" s="17"/>
      <c r="H46" s="12"/>
      <c r="I46" s="63" t="s">
        <v>82</v>
      </c>
      <c r="J46" s="64"/>
      <c r="K46" s="65">
        <f>VLOOKUP(B7,$I$17:$J$21,2,FALSE)</f>
        <v>0.75</v>
      </c>
      <c r="L46" s="66">
        <f>VLOOKUP(B3,$I$35:$M$39,3,FALSE)*J54*K46*(21-$J$4)</f>
        <v>1174.7700000000002</v>
      </c>
      <c r="M46" s="67" t="s">
        <v>73</v>
      </c>
      <c r="N46" s="67"/>
      <c r="O46" s="68"/>
      <c r="P46" s="28"/>
      <c r="Q46" s="38" t="s">
        <v>57</v>
      </c>
      <c r="R46" s="39"/>
      <c r="S46" s="39"/>
      <c r="T46" s="40"/>
      <c r="U46" s="17"/>
      <c r="V46" s="17"/>
      <c r="W46" s="17"/>
      <c r="X46" s="17"/>
      <c r="Y46" s="17"/>
      <c r="Z46" s="23"/>
    </row>
    <row r="47" spans="7:26" ht="17.25" hidden="1" customHeight="1" thickBot="1" x14ac:dyDescent="0.3">
      <c r="G47" s="17"/>
      <c r="H47" s="12"/>
      <c r="I47" s="63"/>
      <c r="J47" s="64"/>
      <c r="K47" s="64"/>
      <c r="L47" s="70"/>
      <c r="M47" s="67"/>
      <c r="N47" s="67"/>
      <c r="O47" s="68"/>
      <c r="P47" s="28"/>
      <c r="Q47" s="26" t="s">
        <v>80</v>
      </c>
      <c r="R47" s="25"/>
      <c r="S47" s="25"/>
      <c r="T47" s="27"/>
      <c r="U47" s="17"/>
      <c r="V47" s="17"/>
      <c r="W47" s="17"/>
      <c r="X47" s="17"/>
      <c r="Y47" s="17"/>
      <c r="Z47" s="23"/>
    </row>
    <row r="48" spans="7:26" ht="17.25" hidden="1" customHeight="1" x14ac:dyDescent="0.25">
      <c r="G48" s="17"/>
      <c r="H48" s="12"/>
      <c r="I48" s="63" t="s">
        <v>83</v>
      </c>
      <c r="J48" s="64"/>
      <c r="K48" s="65">
        <f>IF(OR(B11="loft",B11="both"),VLOOKUP(B7,$I$23:$K$27,3,FALSE),VLOOKUP(B7,$I$23:$K$27,2,FALSE))</f>
        <v>0.45</v>
      </c>
      <c r="L48" s="66">
        <f>(J54*VLOOKUP(B3,$I$35:$M$39,2,FALSE))*K48*(21-$J$4)</f>
        <v>1174.77</v>
      </c>
      <c r="M48" s="67" t="s">
        <v>73</v>
      </c>
      <c r="N48" s="67"/>
      <c r="O48" s="68"/>
      <c r="P48" s="28"/>
      <c r="Q48" s="74" t="s">
        <v>123</v>
      </c>
      <c r="R48" s="8" t="s">
        <v>124</v>
      </c>
      <c r="S48" s="8"/>
      <c r="T48" s="10"/>
      <c r="U48" s="17"/>
      <c r="V48" s="17"/>
      <c r="W48" s="17"/>
      <c r="X48" s="17"/>
      <c r="Y48" s="17"/>
      <c r="Z48" s="23"/>
    </row>
    <row r="49" spans="1:26" ht="17.25" hidden="1" customHeight="1" x14ac:dyDescent="0.25">
      <c r="G49" s="17"/>
      <c r="H49" s="12"/>
      <c r="I49" s="63"/>
      <c r="J49" s="70"/>
      <c r="K49" s="70" t="s">
        <v>84</v>
      </c>
      <c r="L49" s="72"/>
      <c r="M49" s="67"/>
      <c r="N49" s="67"/>
      <c r="O49" s="68"/>
      <c r="P49" s="17"/>
      <c r="Q49" s="12">
        <v>0</v>
      </c>
      <c r="R49" s="17">
        <v>8000</v>
      </c>
      <c r="S49" s="17"/>
      <c r="T49" s="23"/>
      <c r="U49" s="17"/>
      <c r="V49" s="17"/>
      <c r="W49" s="17"/>
      <c r="X49" s="17"/>
      <c r="Y49" s="17"/>
      <c r="Z49" s="23"/>
    </row>
    <row r="50" spans="1:26" ht="17.25" hidden="1" customHeight="1" thickBot="1" x14ac:dyDescent="0.3">
      <c r="G50" s="17"/>
      <c r="H50" s="12"/>
      <c r="I50" s="75" t="s">
        <v>85</v>
      </c>
      <c r="J50" s="76"/>
      <c r="K50" s="77">
        <f>VLOOKUP(B7,$I$29:J33,2,FALSE)</f>
        <v>1.5</v>
      </c>
      <c r="L50" s="78">
        <f>((21-$J$4)*0.33*(J54*2.4)*K50)</f>
        <v>6202.7856000000011</v>
      </c>
      <c r="M50" s="79" t="s">
        <v>73</v>
      </c>
      <c r="N50" s="79"/>
      <c r="O50" s="80"/>
      <c r="P50" s="17"/>
      <c r="Q50" s="12">
        <v>5</v>
      </c>
      <c r="R50" s="17">
        <v>10000</v>
      </c>
      <c r="S50" s="17"/>
      <c r="T50" s="23"/>
      <c r="U50" s="17"/>
      <c r="V50" s="17"/>
      <c r="W50" s="17"/>
      <c r="X50" s="17"/>
      <c r="Y50" s="17"/>
      <c r="Z50" s="23"/>
    </row>
    <row r="51" spans="1:26" ht="17.25" hidden="1" customHeight="1" x14ac:dyDescent="0.25">
      <c r="G51" s="17"/>
      <c r="H51" s="12"/>
      <c r="I51" s="17"/>
      <c r="J51" s="17"/>
      <c r="K51" s="17"/>
      <c r="L51" s="17"/>
      <c r="M51" s="17"/>
      <c r="N51" s="17"/>
      <c r="O51" s="17"/>
      <c r="P51" s="17"/>
      <c r="Q51" s="12">
        <v>10</v>
      </c>
      <c r="R51" s="17">
        <v>12000</v>
      </c>
      <c r="S51" s="17"/>
      <c r="T51" s="23"/>
      <c r="U51" s="17"/>
      <c r="V51" s="17"/>
      <c r="W51" s="17"/>
      <c r="X51" s="17"/>
      <c r="Y51" s="17"/>
      <c r="Z51" s="23"/>
    </row>
    <row r="52" spans="1:26" ht="17.25" hidden="1" customHeight="1" thickBot="1" x14ac:dyDescent="0.3">
      <c r="H52" s="12"/>
      <c r="I52" s="17"/>
      <c r="J52" s="17"/>
      <c r="K52" s="17"/>
      <c r="L52" s="17"/>
      <c r="M52" s="17"/>
      <c r="N52" s="17"/>
      <c r="O52" s="17"/>
      <c r="P52" s="17"/>
      <c r="Q52" s="12">
        <v>15</v>
      </c>
      <c r="R52" s="17">
        <v>15000</v>
      </c>
      <c r="S52" s="17"/>
      <c r="T52" s="23"/>
      <c r="U52" s="17"/>
      <c r="V52" s="17"/>
      <c r="W52" s="17"/>
      <c r="X52" s="17"/>
      <c r="Y52" s="17"/>
      <c r="Z52" s="23"/>
    </row>
    <row r="53" spans="1:26" ht="17.25" hidden="1" customHeight="1" x14ac:dyDescent="0.25">
      <c r="H53" s="12"/>
      <c r="I53" s="81" t="s">
        <v>66</v>
      </c>
      <c r="J53" s="8"/>
      <c r="K53" s="8"/>
      <c r="L53" s="8"/>
      <c r="M53" s="8"/>
      <c r="N53" s="8"/>
      <c r="O53" s="10"/>
      <c r="P53" s="17"/>
      <c r="Q53" s="12">
        <v>20</v>
      </c>
      <c r="R53" s="17">
        <v>16000</v>
      </c>
      <c r="S53" s="17"/>
      <c r="T53" s="23"/>
      <c r="U53" s="17"/>
      <c r="V53" s="17"/>
      <c r="W53" s="17"/>
      <c r="X53" s="17"/>
      <c r="Y53" s="17"/>
      <c r="Z53" s="23"/>
    </row>
    <row r="54" spans="1:26" ht="17.25" hidden="1" customHeight="1" thickBot="1" x14ac:dyDescent="0.4">
      <c r="A54" s="6" t="s">
        <v>115</v>
      </c>
      <c r="B54" s="7"/>
      <c r="C54" s="8"/>
      <c r="D54" s="8"/>
      <c r="E54" s="8"/>
      <c r="F54" s="8"/>
      <c r="G54" s="10"/>
      <c r="H54" s="12"/>
      <c r="I54" s="12" t="s">
        <v>67</v>
      </c>
      <c r="J54" s="17">
        <f>VLOOKUP(B6,$Q$18:$T$22,2,FALSE)</f>
        <v>229</v>
      </c>
      <c r="K54" s="17" t="s">
        <v>68</v>
      </c>
      <c r="L54" s="17"/>
      <c r="M54" s="17"/>
      <c r="N54" s="17"/>
      <c r="O54" s="23"/>
      <c r="P54" s="17"/>
      <c r="Q54" s="82">
        <v>25</v>
      </c>
      <c r="R54" s="53" t="s">
        <v>125</v>
      </c>
      <c r="S54" s="53"/>
      <c r="T54" s="83"/>
      <c r="U54" s="17"/>
      <c r="V54" s="17"/>
      <c r="W54" s="17"/>
      <c r="X54" s="17"/>
      <c r="Y54" s="17"/>
      <c r="Z54" s="23"/>
    </row>
    <row r="55" spans="1:26" ht="17.25" customHeight="1" thickTop="1" thickBot="1" x14ac:dyDescent="0.3">
      <c r="A55" s="47" t="s">
        <v>116</v>
      </c>
      <c r="B55" s="105">
        <v>8000</v>
      </c>
      <c r="C55" s="17" t="s">
        <v>118</v>
      </c>
      <c r="D55" s="17"/>
      <c r="E55" s="17"/>
      <c r="F55" s="17"/>
      <c r="G55" s="23"/>
      <c r="H55" s="12"/>
      <c r="I55" s="12" t="s">
        <v>70</v>
      </c>
      <c r="J55" s="84">
        <f>J56/J54</f>
        <v>95.144400000000005</v>
      </c>
      <c r="K55" s="17" t="s">
        <v>68</v>
      </c>
      <c r="L55" s="17"/>
      <c r="M55" s="17"/>
      <c r="N55" s="17"/>
      <c r="O55" s="23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23"/>
    </row>
    <row r="56" spans="1:26" ht="17.25" customHeight="1" thickTop="1" thickBot="1" x14ac:dyDescent="0.3">
      <c r="A56" s="47" t="s">
        <v>117</v>
      </c>
      <c r="B56" s="105">
        <v>2000</v>
      </c>
      <c r="C56" s="17" t="s">
        <v>119</v>
      </c>
      <c r="D56" s="17"/>
      <c r="E56" s="17"/>
      <c r="F56" s="17"/>
      <c r="G56" s="23"/>
      <c r="H56" s="12"/>
      <c r="I56" s="12" t="s">
        <v>72</v>
      </c>
      <c r="J56" s="85">
        <f>SUM(L42:L50)</f>
        <v>21788.067600000002</v>
      </c>
      <c r="K56" s="17" t="s">
        <v>73</v>
      </c>
      <c r="L56" s="17"/>
      <c r="M56" s="17"/>
      <c r="N56" s="17"/>
      <c r="O56" s="23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23"/>
    </row>
    <row r="57" spans="1:26" ht="17.25" customHeight="1" thickTop="1" thickBot="1" x14ac:dyDescent="0.3">
      <c r="A57" s="14" t="s">
        <v>88</v>
      </c>
      <c r="B57" s="105" t="s">
        <v>49</v>
      </c>
      <c r="C57" s="17"/>
      <c r="D57" s="17"/>
      <c r="E57" s="17"/>
      <c r="F57" s="17"/>
      <c r="G57" s="23"/>
      <c r="H57" s="12"/>
      <c r="I57" s="12" t="s">
        <v>110</v>
      </c>
      <c r="J57" s="85">
        <f>J56*2.2</f>
        <v>47933.748720000011</v>
      </c>
      <c r="K57" s="17" t="s">
        <v>109</v>
      </c>
      <c r="L57" s="17" t="s">
        <v>107</v>
      </c>
      <c r="M57" s="17"/>
      <c r="N57" s="17"/>
      <c r="O57" s="23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3"/>
    </row>
    <row r="58" spans="1:26" ht="17.25" customHeight="1" thickTop="1" thickBot="1" x14ac:dyDescent="0.3">
      <c r="A58" s="12" t="s">
        <v>102</v>
      </c>
      <c r="B58" s="105"/>
      <c r="C58" s="17"/>
      <c r="D58" s="17"/>
      <c r="E58" s="17"/>
      <c r="F58" s="17"/>
      <c r="G58" s="23"/>
      <c r="H58" s="12"/>
      <c r="I58" s="12" t="s">
        <v>108</v>
      </c>
      <c r="J58" s="85">
        <f>((40*4.18*B18)/3600)*365</f>
        <v>4661.8611111111113</v>
      </c>
      <c r="K58" s="17" t="s">
        <v>109</v>
      </c>
      <c r="L58" s="17"/>
      <c r="M58" s="17"/>
      <c r="N58" s="17"/>
      <c r="O58" s="23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23"/>
    </row>
    <row r="59" spans="1:26" ht="17.25" customHeight="1" thickTop="1" thickBot="1" x14ac:dyDescent="0.3">
      <c r="A59" s="45" t="s">
        <v>103</v>
      </c>
      <c r="B59" s="105"/>
      <c r="C59" s="17"/>
      <c r="D59" s="17"/>
      <c r="E59" s="17"/>
      <c r="F59" s="17"/>
      <c r="G59" s="23"/>
      <c r="H59" s="12"/>
      <c r="I59" s="12" t="s">
        <v>128</v>
      </c>
      <c r="J59" s="85">
        <f>J57+J58</f>
        <v>52595.60983111112</v>
      </c>
      <c r="K59" s="17"/>
      <c r="L59" s="17"/>
      <c r="M59" s="17"/>
      <c r="N59" s="17"/>
      <c r="O59" s="23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23"/>
    </row>
    <row r="60" spans="1:26" ht="17.25" customHeight="1" thickTop="1" thickBot="1" x14ac:dyDescent="0.3">
      <c r="A60" s="45" t="s">
        <v>104</v>
      </c>
      <c r="B60" s="105"/>
      <c r="C60" s="17"/>
      <c r="D60" s="17"/>
      <c r="E60" s="17"/>
      <c r="F60" s="17"/>
      <c r="G60" s="23"/>
      <c r="H60" s="12"/>
      <c r="I60" s="12" t="s">
        <v>111</v>
      </c>
      <c r="J60" s="85">
        <f>(J59)/3</f>
        <v>17531.869943703707</v>
      </c>
      <c r="K60" s="17"/>
      <c r="L60" s="17"/>
      <c r="M60" s="17"/>
      <c r="N60" s="17"/>
      <c r="O60" s="23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23"/>
    </row>
    <row r="61" spans="1:26" ht="17.25" customHeight="1" x14ac:dyDescent="0.25">
      <c r="A61" s="110" t="s">
        <v>383</v>
      </c>
      <c r="B61" s="110"/>
      <c r="C61" s="110"/>
      <c r="G61" s="23"/>
      <c r="H61" s="12"/>
      <c r="I61" s="45" t="s">
        <v>112</v>
      </c>
      <c r="J61" s="85">
        <f>IF((J59)&gt;20000,20000,(J59))*0.66</f>
        <v>13200</v>
      </c>
      <c r="K61" s="17"/>
      <c r="L61" s="17"/>
      <c r="M61" s="17"/>
      <c r="N61" s="17"/>
      <c r="O61" s="23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23"/>
    </row>
    <row r="62" spans="1:26" ht="17.25" customHeight="1" x14ac:dyDescent="0.25">
      <c r="A62" s="45" t="s">
        <v>91</v>
      </c>
      <c r="B62" s="89">
        <f>ROUNDUP((B55/2.2),2)/1000</f>
        <v>3.6363700000000003</v>
      </c>
      <c r="C62" s="17" t="s">
        <v>105</v>
      </c>
      <c r="D62" s="17"/>
      <c r="E62" s="17"/>
      <c r="F62" s="17"/>
      <c r="G62" s="23"/>
      <c r="H62" s="12"/>
      <c r="I62" s="45" t="s">
        <v>113</v>
      </c>
      <c r="J62" s="86">
        <f>J61*0.1</f>
        <v>1320</v>
      </c>
      <c r="K62" s="17"/>
      <c r="L62" s="17"/>
      <c r="M62" s="17"/>
      <c r="N62" s="17"/>
      <c r="O62" s="23"/>
      <c r="P62" s="17"/>
      <c r="Q62" s="87"/>
      <c r="R62" s="17"/>
      <c r="S62" s="17"/>
      <c r="T62" s="17"/>
      <c r="U62" s="17"/>
      <c r="V62" s="17"/>
      <c r="W62" s="17"/>
      <c r="X62" s="17"/>
      <c r="Y62" s="17"/>
      <c r="Z62" s="23"/>
    </row>
    <row r="63" spans="1:26" ht="17.25" customHeight="1" thickBot="1" x14ac:dyDescent="0.3">
      <c r="A63" s="45" t="s">
        <v>382</v>
      </c>
      <c r="B63" s="48">
        <f>B56/18.6</f>
        <v>107.5268817204301</v>
      </c>
      <c r="C63" s="17" t="s">
        <v>75</v>
      </c>
      <c r="D63" s="17"/>
      <c r="E63" s="17"/>
      <c r="F63" s="17"/>
      <c r="G63" s="23"/>
      <c r="H63" s="12"/>
      <c r="I63" s="82" t="s">
        <v>120</v>
      </c>
      <c r="J63" s="88">
        <f>J60*0.4</f>
        <v>7012.7479774814828</v>
      </c>
      <c r="K63" s="53"/>
      <c r="L63" s="53" t="s">
        <v>376</v>
      </c>
      <c r="M63" s="53"/>
      <c r="N63" s="53"/>
      <c r="O63" s="83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23"/>
    </row>
    <row r="64" spans="1:26" ht="17.25" customHeight="1" x14ac:dyDescent="0.25">
      <c r="A64" s="45" t="s">
        <v>92</v>
      </c>
      <c r="B64" s="49">
        <f>VLOOKUP(B62,Q49:R54,2)</f>
        <v>8000</v>
      </c>
      <c r="C64" s="17"/>
      <c r="D64" s="17"/>
      <c r="E64" s="17"/>
      <c r="F64" s="17"/>
      <c r="G64" s="23"/>
      <c r="H64" s="12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23"/>
    </row>
    <row r="65" spans="1:26" ht="17.25" customHeight="1" thickBot="1" x14ac:dyDescent="0.3">
      <c r="A65" s="45" t="s">
        <v>381</v>
      </c>
      <c r="B65" s="50">
        <f>J76*0.16</f>
        <v>533.33333333333337</v>
      </c>
      <c r="C65" s="45"/>
      <c r="D65" s="17"/>
      <c r="E65" s="17"/>
      <c r="F65" s="17"/>
      <c r="G65" s="23"/>
      <c r="H65" s="90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83"/>
    </row>
    <row r="66" spans="1:26" ht="17.25" customHeight="1" x14ac:dyDescent="0.25">
      <c r="A66" s="108" t="s">
        <v>390</v>
      </c>
      <c r="B66" s="107">
        <v>5000</v>
      </c>
      <c r="C66" s="17"/>
      <c r="D66" s="17"/>
      <c r="E66" s="17"/>
      <c r="F66" s="17"/>
      <c r="G66" s="23"/>
    </row>
    <row r="67" spans="1:26" ht="17.25" customHeight="1" thickBot="1" x14ac:dyDescent="0.3">
      <c r="A67" s="45" t="s">
        <v>94</v>
      </c>
      <c r="B67" s="93">
        <f>VLOOKUP(B57,Q33:R36,2)</f>
        <v>0.11</v>
      </c>
      <c r="C67" s="17" t="s">
        <v>378</v>
      </c>
      <c r="D67" s="17"/>
      <c r="E67" s="17"/>
      <c r="F67" s="17"/>
      <c r="G67" s="23"/>
    </row>
    <row r="68" spans="1:26" ht="17.25" customHeight="1" x14ac:dyDescent="0.25">
      <c r="A68" s="45" t="s">
        <v>94</v>
      </c>
      <c r="B68" s="94">
        <f>(B67)*B65</f>
        <v>58.666666666666671</v>
      </c>
      <c r="C68" s="17" t="s">
        <v>126</v>
      </c>
      <c r="D68" s="17"/>
      <c r="E68" s="17"/>
      <c r="F68" s="17"/>
      <c r="G68" s="23"/>
      <c r="H68" s="8"/>
      <c r="I68" s="8"/>
      <c r="J68" s="8"/>
      <c r="K68" s="8"/>
      <c r="L68" s="8"/>
      <c r="M68" s="8"/>
      <c r="N68" s="8"/>
      <c r="O68" s="10"/>
    </row>
    <row r="69" spans="1:26" ht="17.25" customHeight="1" x14ac:dyDescent="0.25">
      <c r="A69" s="45" t="s">
        <v>95</v>
      </c>
      <c r="B69" s="48">
        <f>VLOOKUP(B57,Q33:S36,3)*J79</f>
        <v>3066.666666666667</v>
      </c>
      <c r="C69" s="17" t="s">
        <v>96</v>
      </c>
      <c r="D69" s="17"/>
      <c r="E69" s="17"/>
      <c r="F69" s="17"/>
      <c r="G69" s="23"/>
      <c r="H69" s="17"/>
      <c r="I69" s="92" t="s">
        <v>66</v>
      </c>
      <c r="J69" s="17"/>
      <c r="K69" s="17"/>
      <c r="L69" s="17"/>
      <c r="M69" s="17"/>
      <c r="N69" s="17"/>
      <c r="O69" s="23"/>
    </row>
    <row r="70" spans="1:26" ht="17.25" customHeight="1" x14ac:dyDescent="0.25">
      <c r="A70" s="45" t="s">
        <v>98</v>
      </c>
      <c r="B70" s="48">
        <f>(B64-8000)/(B68)</f>
        <v>0</v>
      </c>
      <c r="C70" s="17" t="s">
        <v>127</v>
      </c>
      <c r="D70" s="17"/>
      <c r="E70" s="17"/>
      <c r="F70" s="17"/>
      <c r="G70" s="23"/>
      <c r="H70" s="17"/>
      <c r="I70" s="17"/>
      <c r="J70" s="17"/>
      <c r="K70" s="17"/>
      <c r="L70" s="17"/>
      <c r="M70" s="17"/>
      <c r="N70" s="17"/>
      <c r="O70" s="23"/>
    </row>
    <row r="71" spans="1:26" ht="17.25" customHeight="1" x14ac:dyDescent="0.25">
      <c r="A71" s="45" t="s">
        <v>99</v>
      </c>
      <c r="B71" s="46"/>
      <c r="C71" s="17"/>
      <c r="D71" s="17"/>
      <c r="E71" s="17"/>
      <c r="F71" s="17"/>
      <c r="G71" s="23"/>
      <c r="H71" s="17"/>
      <c r="I71" s="17"/>
      <c r="J71" s="17"/>
      <c r="K71" s="17"/>
      <c r="L71" s="17"/>
      <c r="M71" s="17"/>
      <c r="N71" s="17"/>
      <c r="O71" s="23"/>
    </row>
    <row r="72" spans="1:26" ht="17.25" customHeight="1" x14ac:dyDescent="0.25">
      <c r="A72" s="14" t="s">
        <v>100</v>
      </c>
      <c r="B72" s="17"/>
      <c r="C72" s="17"/>
      <c r="D72" s="17"/>
      <c r="E72" s="17"/>
      <c r="F72" s="17"/>
      <c r="G72" s="23"/>
      <c r="H72" s="17"/>
      <c r="I72" s="17" t="s">
        <v>72</v>
      </c>
      <c r="J72" s="85">
        <f>B62*1000</f>
        <v>3636.3700000000003</v>
      </c>
      <c r="K72" s="17" t="s">
        <v>73</v>
      </c>
      <c r="L72" s="17"/>
      <c r="M72" s="17"/>
      <c r="N72" s="17"/>
      <c r="O72" s="23"/>
    </row>
    <row r="73" spans="1:26" ht="17.25" customHeight="1" x14ac:dyDescent="0.25">
      <c r="A73" s="12" t="s">
        <v>384</v>
      </c>
      <c r="B73" s="46"/>
      <c r="C73" s="17"/>
      <c r="D73" s="17"/>
      <c r="E73" s="17"/>
      <c r="F73" s="17"/>
      <c r="G73" s="23"/>
      <c r="H73" s="17"/>
      <c r="I73" s="17" t="s">
        <v>110</v>
      </c>
      <c r="J73" s="85">
        <f>B55</f>
        <v>8000</v>
      </c>
      <c r="K73" s="17" t="s">
        <v>109</v>
      </c>
      <c r="L73" s="17" t="s">
        <v>107</v>
      </c>
      <c r="M73" s="17"/>
      <c r="N73" s="17"/>
      <c r="O73" s="23"/>
    </row>
    <row r="74" spans="1:26" ht="17.25" customHeight="1" x14ac:dyDescent="0.25">
      <c r="A74" s="109" t="s">
        <v>129</v>
      </c>
      <c r="B74" s="46"/>
      <c r="C74" s="17"/>
      <c r="D74" s="17"/>
      <c r="E74" s="17"/>
      <c r="F74" s="17"/>
      <c r="G74" s="23"/>
      <c r="H74" s="17"/>
      <c r="I74" s="17" t="s">
        <v>108</v>
      </c>
      <c r="J74" s="85">
        <f>B56</f>
        <v>2000</v>
      </c>
      <c r="K74" s="17" t="s">
        <v>109</v>
      </c>
      <c r="L74" s="17"/>
      <c r="M74" s="17"/>
      <c r="N74" s="17"/>
      <c r="O74" s="23"/>
    </row>
    <row r="75" spans="1:26" ht="17.25" customHeight="1" thickBot="1" x14ac:dyDescent="0.3">
      <c r="A75" s="90"/>
      <c r="B75" s="52"/>
      <c r="C75" s="53"/>
      <c r="D75" s="53"/>
      <c r="E75" s="53"/>
      <c r="F75" s="53"/>
      <c r="G75" s="83"/>
      <c r="H75" s="17"/>
      <c r="I75" s="17" t="s">
        <v>128</v>
      </c>
      <c r="J75" s="85">
        <f>J73+J74</f>
        <v>10000</v>
      </c>
      <c r="K75" s="17"/>
      <c r="L75" s="17"/>
      <c r="M75" s="17"/>
      <c r="N75" s="17"/>
      <c r="O75" s="23"/>
    </row>
    <row r="76" spans="1:26" ht="17.25" customHeight="1" thickBot="1" x14ac:dyDescent="0.3">
      <c r="H76" s="17"/>
      <c r="I76" s="17" t="s">
        <v>111</v>
      </c>
      <c r="J76" s="85">
        <f>(J75)/3</f>
        <v>3333.3333333333335</v>
      </c>
      <c r="K76" s="17"/>
      <c r="L76" s="17"/>
      <c r="M76" s="17"/>
      <c r="N76" s="17"/>
      <c r="O76" s="23"/>
    </row>
    <row r="77" spans="1:26" ht="17.25" customHeight="1" thickBot="1" x14ac:dyDescent="0.4">
      <c r="A77" s="6" t="s">
        <v>377</v>
      </c>
      <c r="B77" s="7"/>
      <c r="C77" s="8"/>
      <c r="D77" s="8"/>
      <c r="E77" s="8"/>
      <c r="F77" s="8"/>
      <c r="G77" s="10"/>
      <c r="H77" s="17"/>
      <c r="I77" s="91" t="s">
        <v>112</v>
      </c>
      <c r="J77" s="85">
        <f>IF((J75)&gt;20000,20000,(J75))*0.66</f>
        <v>6600</v>
      </c>
      <c r="K77" s="17"/>
      <c r="L77" s="17"/>
      <c r="M77" s="17"/>
      <c r="N77" s="17"/>
      <c r="O77" s="23"/>
    </row>
    <row r="78" spans="1:26" ht="17.25" customHeight="1" thickTop="1" thickBot="1" x14ac:dyDescent="0.3">
      <c r="A78" s="14" t="s">
        <v>53</v>
      </c>
      <c r="B78" s="105">
        <v>2700</v>
      </c>
      <c r="C78" s="17" t="s">
        <v>71</v>
      </c>
      <c r="D78" s="17"/>
      <c r="E78" s="17"/>
      <c r="F78" s="17"/>
      <c r="G78" s="23"/>
      <c r="H78" s="17"/>
      <c r="I78" s="91" t="s">
        <v>113</v>
      </c>
      <c r="J78" s="86">
        <f>J77*0.1</f>
        <v>660</v>
      </c>
      <c r="K78" s="17"/>
      <c r="L78" s="17"/>
      <c r="M78" s="17"/>
      <c r="N78" s="17"/>
      <c r="O78" s="23"/>
    </row>
    <row r="79" spans="1:26" ht="17.25" customHeight="1" thickTop="1" thickBot="1" x14ac:dyDescent="0.3">
      <c r="A79" s="14" t="s">
        <v>88</v>
      </c>
      <c r="B79" s="105" t="s">
        <v>49</v>
      </c>
      <c r="C79" s="17"/>
      <c r="D79" s="17"/>
      <c r="E79" s="17"/>
      <c r="F79" s="17"/>
      <c r="G79" s="23"/>
      <c r="H79" s="17"/>
      <c r="I79" s="91" t="s">
        <v>120</v>
      </c>
      <c r="J79" s="85">
        <f>J76*0.4</f>
        <v>1333.3333333333335</v>
      </c>
      <c r="K79" s="17"/>
      <c r="L79" s="17" t="s">
        <v>376</v>
      </c>
      <c r="M79" s="17"/>
      <c r="N79" s="17"/>
      <c r="O79" s="23"/>
    </row>
    <row r="80" spans="1:26" ht="17.25" customHeight="1" thickTop="1" thickBot="1" x14ac:dyDescent="0.3">
      <c r="A80" s="12" t="s">
        <v>102</v>
      </c>
      <c r="B80" s="105"/>
      <c r="C80" s="17"/>
      <c r="D80" s="17"/>
      <c r="E80" s="17"/>
      <c r="F80" s="17"/>
      <c r="G80" s="23"/>
      <c r="H80" s="17"/>
      <c r="I80" s="17"/>
      <c r="J80" s="17"/>
      <c r="K80" s="17"/>
      <c r="L80" s="17"/>
      <c r="M80" s="17"/>
      <c r="N80" s="17"/>
      <c r="O80" s="23"/>
    </row>
    <row r="81" spans="1:15" ht="17.25" customHeight="1" thickTop="1" thickBot="1" x14ac:dyDescent="0.3">
      <c r="A81" s="45" t="s">
        <v>103</v>
      </c>
      <c r="B81" s="105"/>
      <c r="C81" s="17"/>
      <c r="D81" s="17"/>
      <c r="E81" s="17"/>
      <c r="F81" s="17"/>
      <c r="G81" s="23"/>
      <c r="H81" s="17"/>
      <c r="I81" s="17"/>
      <c r="J81" s="17"/>
      <c r="K81" s="17"/>
      <c r="L81" s="17"/>
      <c r="M81" s="17"/>
      <c r="N81" s="17"/>
      <c r="O81" s="23"/>
    </row>
    <row r="82" spans="1:15" ht="17.25" customHeight="1" thickTop="1" thickBot="1" x14ac:dyDescent="0.3">
      <c r="A82" s="45" t="s">
        <v>104</v>
      </c>
      <c r="B82" s="105"/>
      <c r="C82" s="17"/>
      <c r="D82" s="17"/>
      <c r="E82" s="17"/>
      <c r="F82" s="17"/>
      <c r="G82" s="23"/>
      <c r="H82" s="53"/>
      <c r="I82" s="53"/>
      <c r="J82" s="53"/>
      <c r="K82" s="53"/>
      <c r="L82" s="53"/>
      <c r="M82" s="53"/>
      <c r="N82" s="53"/>
      <c r="O82" s="83"/>
    </row>
    <row r="83" spans="1:15" ht="17.25" customHeight="1" x14ac:dyDescent="0.25">
      <c r="A83" s="12"/>
      <c r="B83" s="46"/>
      <c r="C83" s="17"/>
      <c r="D83" s="17"/>
      <c r="E83" s="17"/>
      <c r="F83" s="17"/>
      <c r="G83" s="23"/>
    </row>
    <row r="84" spans="1:15" ht="17.25" customHeight="1" x14ac:dyDescent="0.25">
      <c r="A84" s="110" t="s">
        <v>383</v>
      </c>
      <c r="B84" s="110"/>
      <c r="C84" s="110"/>
      <c r="G84" s="23"/>
    </row>
    <row r="85" spans="1:15" ht="17.25" customHeight="1" x14ac:dyDescent="0.25">
      <c r="A85" s="45" t="s">
        <v>91</v>
      </c>
      <c r="B85" s="89">
        <f>ROUNDUP((J98/2.2),2)/1000</f>
        <v>0.98181999999999992</v>
      </c>
      <c r="C85" s="17" t="s">
        <v>105</v>
      </c>
      <c r="D85" s="17"/>
      <c r="E85" s="17"/>
      <c r="F85" s="17"/>
      <c r="G85" s="23"/>
    </row>
    <row r="86" spans="1:15" ht="17.25" customHeight="1" x14ac:dyDescent="0.25">
      <c r="A86" s="45" t="s">
        <v>382</v>
      </c>
      <c r="B86" s="48">
        <f>J99/18.6</f>
        <v>29.032258064516128</v>
      </c>
      <c r="C86" s="17" t="s">
        <v>75</v>
      </c>
      <c r="D86" s="17"/>
      <c r="E86" s="17"/>
      <c r="F86" s="17"/>
      <c r="G86" s="23"/>
    </row>
    <row r="87" spans="1:15" ht="17.25" customHeight="1" x14ac:dyDescent="0.25">
      <c r="A87" s="45" t="s">
        <v>92</v>
      </c>
      <c r="B87" s="49">
        <f>VLOOKUP(B85,Q49:R54,2)</f>
        <v>8000</v>
      </c>
      <c r="C87" s="17"/>
      <c r="D87" s="17"/>
      <c r="E87" s="17"/>
      <c r="F87" s="17"/>
      <c r="G87" s="23"/>
    </row>
    <row r="88" spans="1:15" ht="17.25" customHeight="1" x14ac:dyDescent="0.25">
      <c r="A88" s="45" t="s">
        <v>93</v>
      </c>
      <c r="B88" s="50">
        <f>J103</f>
        <v>178.20000000000002</v>
      </c>
      <c r="C88" s="17" t="s">
        <v>114</v>
      </c>
      <c r="D88" s="17"/>
      <c r="E88" s="17"/>
      <c r="F88" s="17"/>
      <c r="G88" s="23"/>
    </row>
    <row r="89" spans="1:15" ht="17.25" customHeight="1" x14ac:dyDescent="0.25">
      <c r="A89" s="45" t="s">
        <v>381</v>
      </c>
      <c r="B89" s="50">
        <f>J101*0.16</f>
        <v>144</v>
      </c>
      <c r="C89" s="45"/>
      <c r="D89" s="17"/>
      <c r="F89" s="17"/>
      <c r="G89" s="23"/>
    </row>
    <row r="90" spans="1:15" ht="17.25" customHeight="1" x14ac:dyDescent="0.25">
      <c r="A90" s="108" t="s">
        <v>390</v>
      </c>
      <c r="B90" s="107">
        <v>5000</v>
      </c>
      <c r="C90" s="17"/>
      <c r="D90" s="17"/>
      <c r="E90" s="17"/>
      <c r="F90" s="17"/>
      <c r="G90" s="23"/>
    </row>
    <row r="91" spans="1:15" ht="17.25" customHeight="1" x14ac:dyDescent="0.25">
      <c r="A91" s="45" t="s">
        <v>94</v>
      </c>
      <c r="B91" s="95">
        <f>VLOOKUP(B79,Q33:R36,2)</f>
        <v>0.11</v>
      </c>
      <c r="C91" s="17" t="s">
        <v>378</v>
      </c>
      <c r="D91" s="17"/>
      <c r="E91" s="17"/>
      <c r="F91" s="17"/>
      <c r="G91" s="23"/>
    </row>
    <row r="92" spans="1:15" ht="17.25" customHeight="1" thickBot="1" x14ac:dyDescent="0.3">
      <c r="A92" s="45" t="s">
        <v>94</v>
      </c>
      <c r="B92" s="49">
        <f>(B91)*B89</f>
        <v>15.84</v>
      </c>
      <c r="C92" s="17" t="s">
        <v>126</v>
      </c>
      <c r="D92" s="17"/>
      <c r="E92" s="17"/>
      <c r="F92" s="17"/>
      <c r="G92" s="23"/>
    </row>
    <row r="93" spans="1:15" ht="17.25" customHeight="1" x14ac:dyDescent="0.25">
      <c r="A93" s="45" t="s">
        <v>95</v>
      </c>
      <c r="B93" s="48">
        <f>VLOOKUP(B79,Q33:S36,3)*J104</f>
        <v>827.99999999999989</v>
      </c>
      <c r="C93" s="17" t="s">
        <v>96</v>
      </c>
      <c r="D93" s="17"/>
      <c r="E93" s="17"/>
      <c r="F93" s="17"/>
      <c r="G93" s="23"/>
      <c r="H93" s="9"/>
      <c r="I93" s="8"/>
      <c r="J93" s="8"/>
      <c r="K93" s="8"/>
      <c r="L93" s="8"/>
      <c r="M93" s="8"/>
      <c r="N93" s="8"/>
      <c r="O93" s="10"/>
    </row>
    <row r="94" spans="1:15" ht="17.25" customHeight="1" x14ac:dyDescent="0.25">
      <c r="A94" s="45" t="s">
        <v>98</v>
      </c>
      <c r="B94" s="48">
        <f>(B87-3000-5000)/(B92)</f>
        <v>0</v>
      </c>
      <c r="C94" s="17" t="s">
        <v>127</v>
      </c>
      <c r="D94" s="17"/>
      <c r="F94" s="17"/>
      <c r="G94" s="23"/>
      <c r="H94" s="12"/>
      <c r="I94" s="92" t="s">
        <v>66</v>
      </c>
      <c r="J94" s="17"/>
      <c r="K94" s="17"/>
      <c r="L94" s="17"/>
      <c r="M94" s="17"/>
      <c r="N94" s="17"/>
      <c r="O94" s="23"/>
    </row>
    <row r="95" spans="1:15" ht="17.25" customHeight="1" x14ac:dyDescent="0.25">
      <c r="A95" s="45" t="s">
        <v>99</v>
      </c>
      <c r="B95" s="46"/>
      <c r="C95" s="17"/>
      <c r="D95" s="17"/>
      <c r="E95" s="17"/>
      <c r="F95" s="17"/>
      <c r="G95" s="23"/>
      <c r="H95" s="12"/>
      <c r="I95" s="17"/>
      <c r="J95" s="17"/>
      <c r="K95" s="17"/>
      <c r="L95" s="17"/>
      <c r="M95" s="17"/>
      <c r="N95" s="17"/>
      <c r="O95" s="23"/>
    </row>
    <row r="96" spans="1:15" ht="17.25" customHeight="1" x14ac:dyDescent="0.25">
      <c r="A96" s="14" t="s">
        <v>100</v>
      </c>
      <c r="B96" s="17"/>
      <c r="C96" s="17"/>
      <c r="D96" s="17"/>
      <c r="E96" s="17"/>
      <c r="F96" s="17"/>
      <c r="G96" s="23"/>
      <c r="H96" s="12"/>
      <c r="I96" s="17"/>
      <c r="J96" s="17"/>
      <c r="K96" s="17"/>
      <c r="L96" s="17"/>
      <c r="M96" s="17"/>
      <c r="N96" s="17"/>
      <c r="O96" s="23"/>
    </row>
    <row r="97" spans="1:15" ht="17.25" customHeight="1" x14ac:dyDescent="0.25">
      <c r="A97" s="12" t="s">
        <v>384</v>
      </c>
      <c r="B97" s="46"/>
      <c r="C97" s="17"/>
      <c r="D97" s="17"/>
      <c r="E97" s="17"/>
      <c r="F97" s="17"/>
      <c r="G97" s="23"/>
      <c r="H97" s="12"/>
      <c r="I97" s="17" t="s">
        <v>72</v>
      </c>
      <c r="J97" s="85">
        <f>B85*1000</f>
        <v>981.81999999999994</v>
      </c>
      <c r="K97" s="17" t="s">
        <v>73</v>
      </c>
      <c r="L97" s="17"/>
      <c r="M97" s="17"/>
      <c r="N97" s="17"/>
      <c r="O97" s="23"/>
    </row>
    <row r="98" spans="1:15" ht="17.25" customHeight="1" x14ac:dyDescent="0.25">
      <c r="A98" s="109" t="s">
        <v>129</v>
      </c>
      <c r="B98" s="46"/>
      <c r="C98" s="17"/>
      <c r="D98" s="17"/>
      <c r="E98" s="17"/>
      <c r="F98" s="17"/>
      <c r="G98" s="23"/>
      <c r="H98" s="12"/>
      <c r="I98" s="17" t="s">
        <v>110</v>
      </c>
      <c r="J98" s="85">
        <f>B78*0.8</f>
        <v>2160</v>
      </c>
      <c r="K98" s="17" t="s">
        <v>109</v>
      </c>
      <c r="L98" s="17" t="s">
        <v>107</v>
      </c>
      <c r="M98" s="17"/>
      <c r="N98" s="17"/>
      <c r="O98" s="23"/>
    </row>
    <row r="99" spans="1:15" ht="17.25" customHeight="1" thickBot="1" x14ac:dyDescent="0.3">
      <c r="A99" s="90"/>
      <c r="B99" s="52"/>
      <c r="C99" s="53"/>
      <c r="D99" s="53"/>
      <c r="E99" s="53"/>
      <c r="F99" s="53"/>
      <c r="G99" s="83"/>
      <c r="H99" s="12"/>
      <c r="I99" s="17" t="s">
        <v>108</v>
      </c>
      <c r="J99" s="85">
        <f>B78/5</f>
        <v>540</v>
      </c>
      <c r="K99" s="17" t="s">
        <v>109</v>
      </c>
      <c r="L99" s="17"/>
      <c r="M99" s="17"/>
      <c r="N99" s="17"/>
      <c r="O99" s="23"/>
    </row>
    <row r="100" spans="1:15" ht="17.25" customHeight="1" x14ac:dyDescent="0.25">
      <c r="G100" s="17"/>
      <c r="H100" s="12"/>
      <c r="I100" s="17" t="s">
        <v>128</v>
      </c>
      <c r="J100" s="85">
        <f>J98+J99</f>
        <v>2700</v>
      </c>
      <c r="K100" s="17"/>
      <c r="L100" s="17"/>
      <c r="M100" s="17"/>
      <c r="N100" s="17"/>
      <c r="O100" s="23"/>
    </row>
    <row r="101" spans="1:15" ht="17.25" customHeight="1" x14ac:dyDescent="0.25">
      <c r="G101" s="17"/>
      <c r="H101" s="12"/>
      <c r="I101" s="17" t="s">
        <v>111</v>
      </c>
      <c r="J101" s="85">
        <f>(J100)/3</f>
        <v>900</v>
      </c>
      <c r="K101" s="17"/>
      <c r="L101" s="17"/>
      <c r="M101" s="17"/>
      <c r="N101" s="17"/>
      <c r="O101" s="23"/>
    </row>
    <row r="102" spans="1:15" ht="17.25" customHeight="1" x14ac:dyDescent="0.25">
      <c r="G102" s="17"/>
      <c r="H102" s="12"/>
      <c r="I102" s="91" t="s">
        <v>112</v>
      </c>
      <c r="J102" s="85">
        <f>IF((J100)&gt;20000,20000,(J100))*0.66</f>
        <v>1782</v>
      </c>
      <c r="K102" s="17"/>
      <c r="L102" s="17"/>
      <c r="M102" s="17"/>
      <c r="N102" s="17"/>
      <c r="O102" s="23"/>
    </row>
    <row r="103" spans="1:15" ht="17.25" hidden="1" customHeight="1" x14ac:dyDescent="0.25">
      <c r="G103" s="17"/>
      <c r="H103" s="12"/>
      <c r="I103" s="91" t="s">
        <v>113</v>
      </c>
      <c r="J103" s="86">
        <f>J102*0.1</f>
        <v>178.20000000000002</v>
      </c>
      <c r="K103" s="17"/>
      <c r="L103" s="17"/>
      <c r="M103" s="17"/>
      <c r="N103" s="17"/>
      <c r="O103" s="23"/>
    </row>
    <row r="104" spans="1:15" ht="17.25" hidden="1" customHeight="1" x14ac:dyDescent="0.25">
      <c r="G104" s="17"/>
      <c r="H104" s="12"/>
      <c r="I104" s="91" t="s">
        <v>120</v>
      </c>
      <c r="J104" s="85">
        <f>J101*0.4</f>
        <v>360</v>
      </c>
      <c r="K104" s="17"/>
      <c r="L104" s="17" t="s">
        <v>376</v>
      </c>
      <c r="M104" s="17"/>
      <c r="N104" s="17"/>
      <c r="O104" s="23"/>
    </row>
    <row r="105" spans="1:15" ht="17.25" hidden="1" customHeight="1" x14ac:dyDescent="0.25">
      <c r="G105" s="17"/>
      <c r="H105" s="12"/>
      <c r="I105" s="17"/>
      <c r="J105" s="17"/>
      <c r="K105" s="17"/>
      <c r="L105" s="17"/>
      <c r="M105" s="17"/>
      <c r="N105" s="17"/>
      <c r="O105" s="23"/>
    </row>
    <row r="106" spans="1:15" ht="17.25" hidden="1" customHeight="1" x14ac:dyDescent="0.25">
      <c r="A106" s="9"/>
      <c r="B106" s="7"/>
      <c r="C106" s="8"/>
      <c r="D106" s="8"/>
      <c r="E106" s="8"/>
      <c r="F106" s="8"/>
      <c r="G106" s="10"/>
      <c r="H106" s="12"/>
      <c r="I106" s="17"/>
      <c r="J106" s="17"/>
      <c r="K106" s="17"/>
      <c r="L106" s="17"/>
      <c r="M106" s="17"/>
      <c r="N106" s="17"/>
      <c r="O106" s="23"/>
    </row>
    <row r="107" spans="1:15" ht="17.25" hidden="1" customHeight="1" x14ac:dyDescent="0.35">
      <c r="A107" s="98" t="s">
        <v>386</v>
      </c>
      <c r="B107" s="105" t="s">
        <v>49</v>
      </c>
      <c r="C107" s="17"/>
      <c r="D107" s="17"/>
      <c r="E107" s="17"/>
      <c r="F107" s="17"/>
      <c r="G107" s="23"/>
      <c r="H107" s="12"/>
      <c r="I107" s="17"/>
      <c r="J107" s="17"/>
      <c r="K107" s="17"/>
      <c r="L107" s="17"/>
      <c r="M107" s="17"/>
      <c r="N107" s="17"/>
      <c r="O107" s="23"/>
    </row>
    <row r="108" spans="1:15" ht="17.25" hidden="1" customHeight="1" x14ac:dyDescent="0.25">
      <c r="A108" s="47" t="s">
        <v>379</v>
      </c>
      <c r="B108" s="46"/>
      <c r="C108" s="17"/>
      <c r="D108" s="110" t="s">
        <v>383</v>
      </c>
      <c r="E108" s="110"/>
      <c r="F108" s="110"/>
      <c r="G108" s="23"/>
      <c r="H108" s="12"/>
      <c r="I108" s="17"/>
      <c r="J108" s="17"/>
      <c r="K108" s="17"/>
      <c r="L108" s="17"/>
      <c r="M108" s="17"/>
      <c r="N108" s="17"/>
      <c r="O108" s="23"/>
    </row>
    <row r="109" spans="1:15" ht="17.25" hidden="1" customHeight="1" x14ac:dyDescent="0.25">
      <c r="A109" s="45" t="s">
        <v>91</v>
      </c>
      <c r="B109" s="106">
        <v>58</v>
      </c>
      <c r="C109" s="17" t="s">
        <v>105</v>
      </c>
      <c r="D109" s="17"/>
      <c r="E109" s="17"/>
      <c r="F109" s="17"/>
      <c r="G109" s="23"/>
      <c r="H109" s="12"/>
      <c r="I109" s="17"/>
      <c r="J109" s="87">
        <f>4.3/0.9</f>
        <v>4.7777777777777777</v>
      </c>
      <c r="K109" s="17"/>
      <c r="L109" s="17"/>
      <c r="M109" s="17"/>
      <c r="N109" s="17"/>
      <c r="O109" s="23"/>
    </row>
    <row r="110" spans="1:15" ht="17.25" customHeight="1" thickBot="1" x14ac:dyDescent="0.3">
      <c r="A110" s="45" t="s">
        <v>382</v>
      </c>
      <c r="B110" s="48">
        <f>J117/18.6</f>
        <v>1683.8709677419354</v>
      </c>
      <c r="C110" s="17" t="s">
        <v>75</v>
      </c>
      <c r="D110" s="17"/>
      <c r="E110" s="17"/>
      <c r="F110" s="17"/>
      <c r="G110" s="23"/>
      <c r="H110" s="90"/>
      <c r="I110" s="53"/>
      <c r="J110" s="96">
        <f>14/3</f>
        <v>4.666666666666667</v>
      </c>
      <c r="K110" s="53"/>
      <c r="L110" s="53"/>
      <c r="M110" s="53"/>
      <c r="N110" s="53"/>
      <c r="O110" s="83"/>
    </row>
    <row r="111" spans="1:15" ht="17.25" customHeight="1" x14ac:dyDescent="0.25">
      <c r="A111" s="45" t="s">
        <v>92</v>
      </c>
      <c r="B111" s="49">
        <f>B109*1500</f>
        <v>87000</v>
      </c>
      <c r="C111" s="17"/>
      <c r="D111" s="17"/>
      <c r="E111" s="17"/>
      <c r="F111" s="17"/>
      <c r="G111" s="23"/>
      <c r="H111" s="9"/>
      <c r="I111" s="8"/>
      <c r="J111" s="8"/>
      <c r="K111" s="8"/>
      <c r="L111" s="8"/>
      <c r="M111" s="8"/>
      <c r="N111" s="8"/>
      <c r="O111" s="10"/>
    </row>
    <row r="112" spans="1:15" ht="17.25" customHeight="1" x14ac:dyDescent="0.25">
      <c r="A112" s="45" t="s">
        <v>93</v>
      </c>
      <c r="B112" s="50">
        <f>J121</f>
        <v>4189.68</v>
      </c>
      <c r="C112" s="17" t="s">
        <v>114</v>
      </c>
      <c r="D112" s="17"/>
      <c r="E112" s="17"/>
      <c r="F112" s="17"/>
      <c r="G112" s="23"/>
      <c r="H112" s="12"/>
      <c r="I112" s="92" t="s">
        <v>66</v>
      </c>
      <c r="J112" s="17"/>
      <c r="K112" s="17"/>
      <c r="L112" s="17"/>
      <c r="M112" s="17"/>
      <c r="N112" s="17"/>
      <c r="O112" s="23"/>
    </row>
    <row r="113" spans="1:15" ht="17.25" customHeight="1" x14ac:dyDescent="0.25">
      <c r="A113" s="45" t="s">
        <v>381</v>
      </c>
      <c r="B113" s="50">
        <f>J119*0.16</f>
        <v>8590.6285714285714</v>
      </c>
      <c r="C113" s="45"/>
      <c r="D113" s="17"/>
      <c r="F113" s="17"/>
      <c r="G113" s="23"/>
      <c r="H113" s="12"/>
      <c r="I113" s="17"/>
      <c r="J113" s="17"/>
      <c r="K113" s="17"/>
      <c r="L113" s="17"/>
      <c r="M113" s="17"/>
      <c r="N113" s="17"/>
      <c r="O113" s="23"/>
    </row>
    <row r="114" spans="1:15" ht="17.25" customHeight="1" x14ac:dyDescent="0.25">
      <c r="A114" s="108" t="s">
        <v>390</v>
      </c>
      <c r="B114" s="107">
        <v>6000</v>
      </c>
      <c r="C114" s="17"/>
      <c r="D114" s="17"/>
      <c r="E114" s="17"/>
      <c r="F114" s="17"/>
      <c r="G114" s="23"/>
      <c r="H114" s="12"/>
      <c r="I114" s="17"/>
      <c r="J114" s="17"/>
      <c r="K114" s="17"/>
      <c r="L114" s="17"/>
      <c r="M114" s="17"/>
      <c r="N114" s="17"/>
      <c r="O114" s="23"/>
    </row>
    <row r="115" spans="1:15" ht="17.25" customHeight="1" x14ac:dyDescent="0.25">
      <c r="A115" s="45" t="s">
        <v>94</v>
      </c>
      <c r="B115" s="95">
        <f>VLOOKUP(B107,Q33:R36,2)</f>
        <v>0.11</v>
      </c>
      <c r="C115" s="17" t="s">
        <v>378</v>
      </c>
      <c r="D115" s="17"/>
      <c r="E115" s="17"/>
      <c r="F115" s="17"/>
      <c r="G115" s="23"/>
      <c r="H115" s="12"/>
      <c r="I115" s="17" t="s">
        <v>72</v>
      </c>
      <c r="J115" s="85">
        <f>B109</f>
        <v>58</v>
      </c>
      <c r="K115" s="97" t="s">
        <v>105</v>
      </c>
      <c r="L115" s="17"/>
      <c r="M115" s="17"/>
      <c r="N115" s="17"/>
      <c r="O115" s="23"/>
    </row>
    <row r="116" spans="1:15" ht="17.25" customHeight="1" x14ac:dyDescent="0.25">
      <c r="A116" s="45" t="s">
        <v>94</v>
      </c>
      <c r="B116" s="49">
        <f>(B115)*B113</f>
        <v>944.96914285714286</v>
      </c>
      <c r="C116" s="17" t="s">
        <v>126</v>
      </c>
      <c r="D116" s="17"/>
      <c r="E116" s="17"/>
      <c r="F116" s="17"/>
      <c r="G116" s="23"/>
      <c r="H116" s="12"/>
      <c r="I116" s="17" t="s">
        <v>110</v>
      </c>
      <c r="J116" s="85">
        <f>J115*2700</f>
        <v>156600</v>
      </c>
      <c r="K116" s="17" t="s">
        <v>109</v>
      </c>
      <c r="L116" s="17" t="s">
        <v>107</v>
      </c>
      <c r="M116" s="17"/>
      <c r="N116" s="17"/>
      <c r="O116" s="23"/>
    </row>
    <row r="117" spans="1:15" ht="17.25" customHeight="1" x14ac:dyDescent="0.25">
      <c r="A117" s="45" t="s">
        <v>95</v>
      </c>
      <c r="B117" s="48">
        <f>VLOOKUP(B107,Q33:S36,3)*J122</f>
        <v>49396.114285714291</v>
      </c>
      <c r="C117" s="17" t="s">
        <v>96</v>
      </c>
      <c r="D117" s="17"/>
      <c r="E117" s="17"/>
      <c r="F117" s="17"/>
      <c r="G117" s="23"/>
      <c r="H117" s="12"/>
      <c r="I117" s="17" t="s">
        <v>108</v>
      </c>
      <c r="J117" s="85">
        <f>J115*540</f>
        <v>31320</v>
      </c>
      <c r="K117" s="17" t="s">
        <v>109</v>
      </c>
      <c r="L117" s="17"/>
      <c r="M117" s="17"/>
      <c r="N117" s="17"/>
      <c r="O117" s="23"/>
    </row>
    <row r="118" spans="1:15" ht="17.25" customHeight="1" x14ac:dyDescent="0.25">
      <c r="A118" s="45" t="s">
        <v>98</v>
      </c>
      <c r="B118" s="48">
        <f>(B111-3000-5000)/(B116)</f>
        <v>83.600613413831809</v>
      </c>
      <c r="C118" s="17" t="s">
        <v>127</v>
      </c>
      <c r="D118" s="17"/>
      <c r="F118" s="17"/>
      <c r="G118" s="23"/>
      <c r="H118" s="12"/>
      <c r="I118" s="17" t="s">
        <v>128</v>
      </c>
      <c r="J118" s="85">
        <f>J116+J117</f>
        <v>187920</v>
      </c>
      <c r="K118" s="17"/>
      <c r="L118" s="17"/>
      <c r="M118" s="17"/>
      <c r="N118" s="17"/>
      <c r="O118" s="23"/>
    </row>
    <row r="119" spans="1:15" ht="17.25" customHeight="1" x14ac:dyDescent="0.25">
      <c r="A119" s="45" t="s">
        <v>99</v>
      </c>
      <c r="B119" s="46"/>
      <c r="C119" s="17"/>
      <c r="D119" s="17"/>
      <c r="E119" s="17"/>
      <c r="F119" s="17"/>
      <c r="G119" s="23"/>
      <c r="H119" s="12"/>
      <c r="I119" s="17" t="s">
        <v>111</v>
      </c>
      <c r="J119" s="85">
        <f>(J118)/3.5</f>
        <v>53691.428571428572</v>
      </c>
      <c r="K119" s="17"/>
      <c r="L119" s="17"/>
      <c r="M119" s="17"/>
      <c r="N119" s="17"/>
      <c r="O119" s="23"/>
    </row>
    <row r="120" spans="1:15" ht="17.25" customHeight="1" thickBot="1" x14ac:dyDescent="0.3">
      <c r="A120" s="14" t="s">
        <v>100</v>
      </c>
      <c r="B120" s="17"/>
      <c r="C120" s="17"/>
      <c r="D120" s="17"/>
      <c r="E120" s="17"/>
      <c r="F120" s="17"/>
      <c r="G120" s="23"/>
      <c r="H120" s="12"/>
      <c r="I120" s="91" t="s">
        <v>112</v>
      </c>
      <c r="J120" s="85">
        <f>IF((J118)&gt;30000,30000,(J118))*0.66</f>
        <v>19800</v>
      </c>
      <c r="K120" s="17"/>
      <c r="L120" s="17"/>
      <c r="M120" s="17"/>
      <c r="N120" s="17"/>
      <c r="O120" s="23"/>
    </row>
    <row r="121" spans="1:15" ht="17.25" customHeight="1" x14ac:dyDescent="0.25">
      <c r="A121" s="12" t="s">
        <v>384</v>
      </c>
      <c r="B121" s="46"/>
      <c r="C121" s="99" t="s">
        <v>387</v>
      </c>
      <c r="D121" s="101">
        <f>B109/0.015</f>
        <v>3866.666666666667</v>
      </c>
      <c r="E121" s="17"/>
      <c r="F121" s="17"/>
      <c r="G121" s="23"/>
      <c r="H121" s="12"/>
      <c r="I121" s="91" t="s">
        <v>113</v>
      </c>
      <c r="J121" s="86">
        <f>J120*0.2116</f>
        <v>4189.68</v>
      </c>
      <c r="K121" s="17"/>
      <c r="L121" s="17"/>
      <c r="M121" s="17"/>
      <c r="N121" s="17"/>
      <c r="O121" s="23"/>
    </row>
    <row r="122" spans="1:15" ht="17.25" customHeight="1" thickBot="1" x14ac:dyDescent="0.3">
      <c r="A122" s="14" t="s">
        <v>101</v>
      </c>
      <c r="B122" s="46"/>
      <c r="C122" s="100" t="s">
        <v>388</v>
      </c>
      <c r="D122" s="102">
        <f>D121/200</f>
        <v>19.333333333333336</v>
      </c>
      <c r="E122" s="17"/>
      <c r="F122" s="17"/>
      <c r="G122" s="23"/>
      <c r="H122" s="12"/>
      <c r="I122" s="91" t="s">
        <v>120</v>
      </c>
      <c r="J122" s="85">
        <f>J119*0.4</f>
        <v>21476.571428571431</v>
      </c>
      <c r="K122" s="17"/>
      <c r="L122" s="17" t="s">
        <v>376</v>
      </c>
      <c r="M122" s="17"/>
      <c r="N122" s="17"/>
      <c r="O122" s="23"/>
    </row>
    <row r="123" spans="1:15" ht="17.25" customHeight="1" thickBot="1" x14ac:dyDescent="0.3">
      <c r="A123" s="90"/>
      <c r="B123" s="52"/>
      <c r="C123" s="53"/>
      <c r="D123" s="53"/>
      <c r="E123" s="53"/>
      <c r="F123" s="53"/>
      <c r="G123" s="83"/>
      <c r="H123" s="12"/>
      <c r="I123" s="17"/>
      <c r="J123" s="17"/>
      <c r="K123" s="17"/>
      <c r="L123" s="17"/>
      <c r="M123" s="17"/>
      <c r="N123" s="17"/>
      <c r="O123" s="23"/>
    </row>
    <row r="124" spans="1:15" ht="17.25" customHeight="1" thickBot="1" x14ac:dyDescent="0.3">
      <c r="H124" s="90"/>
      <c r="I124" s="53"/>
      <c r="J124" s="53"/>
      <c r="K124" s="53"/>
      <c r="L124" s="53"/>
      <c r="M124" s="53"/>
      <c r="N124" s="53"/>
      <c r="O124" s="83"/>
    </row>
    <row r="125" spans="1:15" ht="17.25" customHeight="1" x14ac:dyDescent="0.25"/>
    <row r="126" spans="1:15" ht="17.25" customHeight="1" x14ac:dyDescent="0.25"/>
    <row r="127" spans="1:15" ht="17.25" customHeight="1" x14ac:dyDescent="0.25"/>
    <row r="128" spans="1:15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  <row r="526" ht="17.25" customHeight="1" x14ac:dyDescent="0.25"/>
    <row r="527" ht="17.25" customHeight="1" x14ac:dyDescent="0.25"/>
    <row r="528" ht="17.25" customHeight="1" x14ac:dyDescent="0.25"/>
    <row r="529" ht="17.25" customHeight="1" x14ac:dyDescent="0.25"/>
    <row r="530" ht="17.25" customHeight="1" x14ac:dyDescent="0.25"/>
    <row r="531" ht="17.25" customHeight="1" x14ac:dyDescent="0.25"/>
    <row r="532" ht="17.25" customHeight="1" x14ac:dyDescent="0.25"/>
    <row r="533" ht="17.25" customHeight="1" x14ac:dyDescent="0.25"/>
    <row r="534" ht="17.25" customHeight="1" x14ac:dyDescent="0.25"/>
    <row r="535" ht="17.25" customHeight="1" x14ac:dyDescent="0.25"/>
    <row r="536" ht="17.25" customHeight="1" x14ac:dyDescent="0.25"/>
    <row r="537" ht="17.25" customHeight="1" x14ac:dyDescent="0.25"/>
    <row r="538" ht="17.25" customHeight="1" x14ac:dyDescent="0.25"/>
    <row r="539" ht="17.25" customHeight="1" x14ac:dyDescent="0.25"/>
    <row r="540" ht="17.25" customHeight="1" x14ac:dyDescent="0.25"/>
    <row r="541" ht="17.25" customHeight="1" x14ac:dyDescent="0.25"/>
    <row r="542" ht="17.25" customHeight="1" x14ac:dyDescent="0.25"/>
    <row r="543" ht="17.25" customHeight="1" x14ac:dyDescent="0.25"/>
    <row r="544" ht="17.25" customHeight="1" x14ac:dyDescent="0.25"/>
    <row r="545" ht="17.25" customHeight="1" x14ac:dyDescent="0.25"/>
    <row r="546" ht="17.25" customHeight="1" x14ac:dyDescent="0.25"/>
    <row r="547" ht="17.25" customHeight="1" x14ac:dyDescent="0.25"/>
    <row r="548" ht="17.25" customHeight="1" x14ac:dyDescent="0.25"/>
    <row r="549" ht="17.25" customHeight="1" x14ac:dyDescent="0.25"/>
    <row r="550" ht="17.25" customHeight="1" x14ac:dyDescent="0.25"/>
    <row r="551" ht="17.25" customHeight="1" x14ac:dyDescent="0.25"/>
    <row r="552" ht="17.25" customHeight="1" x14ac:dyDescent="0.25"/>
    <row r="553" ht="17.25" customHeight="1" x14ac:dyDescent="0.25"/>
    <row r="554" ht="17.25" customHeight="1" x14ac:dyDescent="0.25"/>
    <row r="555" ht="17.25" customHeight="1" x14ac:dyDescent="0.25"/>
    <row r="556" ht="17.25" customHeight="1" x14ac:dyDescent="0.25"/>
    <row r="557" ht="17.25" customHeight="1" x14ac:dyDescent="0.25"/>
    <row r="558" ht="17.25" customHeight="1" x14ac:dyDescent="0.25"/>
    <row r="559" ht="17.25" customHeight="1" x14ac:dyDescent="0.25"/>
    <row r="560" ht="17.25" customHeight="1" x14ac:dyDescent="0.25"/>
    <row r="561" ht="17.25" customHeight="1" x14ac:dyDescent="0.25"/>
    <row r="562" ht="17.25" customHeight="1" x14ac:dyDescent="0.25"/>
    <row r="563" ht="17.25" customHeight="1" x14ac:dyDescent="0.25"/>
    <row r="564" ht="17.25" customHeight="1" x14ac:dyDescent="0.25"/>
    <row r="565" ht="17.25" customHeight="1" x14ac:dyDescent="0.25"/>
    <row r="566" ht="17.25" customHeight="1" x14ac:dyDescent="0.25"/>
    <row r="567" ht="17.25" customHeight="1" x14ac:dyDescent="0.25"/>
    <row r="568" ht="17.25" customHeight="1" x14ac:dyDescent="0.25"/>
    <row r="569" ht="17.25" customHeight="1" x14ac:dyDescent="0.25"/>
    <row r="570" ht="17.25" customHeight="1" x14ac:dyDescent="0.25"/>
    <row r="571" ht="17.25" customHeight="1" x14ac:dyDescent="0.25"/>
    <row r="572" ht="17.25" customHeight="1" x14ac:dyDescent="0.25"/>
    <row r="573" ht="17.25" customHeight="1" x14ac:dyDescent="0.25"/>
    <row r="574" ht="17.25" customHeight="1" x14ac:dyDescent="0.25"/>
    <row r="575" ht="17.25" customHeight="1" x14ac:dyDescent="0.25"/>
    <row r="576" ht="17.25" customHeight="1" x14ac:dyDescent="0.25"/>
    <row r="577" ht="17.25" customHeight="1" x14ac:dyDescent="0.25"/>
    <row r="578" ht="17.25" customHeight="1" x14ac:dyDescent="0.25"/>
    <row r="579" ht="17.25" customHeight="1" x14ac:dyDescent="0.25"/>
    <row r="580" ht="17.25" customHeight="1" x14ac:dyDescent="0.25"/>
    <row r="581" ht="17.25" customHeight="1" x14ac:dyDescent="0.25"/>
    <row r="582" ht="17.25" customHeight="1" x14ac:dyDescent="0.25"/>
    <row r="583" ht="17.25" customHeight="1" x14ac:dyDescent="0.25"/>
    <row r="584" ht="17.25" customHeight="1" x14ac:dyDescent="0.25"/>
    <row r="585" ht="17.25" customHeight="1" x14ac:dyDescent="0.25"/>
    <row r="586" ht="17.25" customHeight="1" x14ac:dyDescent="0.25"/>
    <row r="587" ht="17.25" customHeight="1" x14ac:dyDescent="0.25"/>
    <row r="588" ht="17.25" customHeight="1" x14ac:dyDescent="0.25"/>
    <row r="589" ht="17.25" customHeight="1" x14ac:dyDescent="0.25"/>
    <row r="590" ht="17.25" customHeight="1" x14ac:dyDescent="0.25"/>
    <row r="591" ht="17.25" customHeight="1" x14ac:dyDescent="0.25"/>
    <row r="592" ht="17.25" customHeight="1" x14ac:dyDescent="0.25"/>
    <row r="593" ht="17.25" customHeight="1" x14ac:dyDescent="0.25"/>
    <row r="594" ht="17.25" customHeight="1" x14ac:dyDescent="0.25"/>
    <row r="595" ht="17.25" customHeight="1" x14ac:dyDescent="0.25"/>
    <row r="596" ht="17.25" customHeight="1" x14ac:dyDescent="0.25"/>
    <row r="597" ht="17.25" customHeight="1" x14ac:dyDescent="0.25"/>
    <row r="598" ht="17.25" customHeight="1" x14ac:dyDescent="0.25"/>
    <row r="599" ht="17.25" customHeight="1" x14ac:dyDescent="0.25"/>
    <row r="600" ht="17.25" customHeight="1" x14ac:dyDescent="0.25"/>
    <row r="601" ht="17.25" customHeight="1" x14ac:dyDescent="0.25"/>
    <row r="602" ht="17.25" customHeight="1" x14ac:dyDescent="0.25"/>
    <row r="603" ht="17.25" customHeight="1" x14ac:dyDescent="0.25"/>
    <row r="604" ht="17.25" customHeight="1" x14ac:dyDescent="0.25"/>
    <row r="605" ht="17.25" customHeight="1" x14ac:dyDescent="0.25"/>
    <row r="606" ht="17.25" customHeight="1" x14ac:dyDescent="0.25"/>
    <row r="607" ht="17.25" customHeight="1" x14ac:dyDescent="0.25"/>
    <row r="608" ht="17.25" customHeight="1" x14ac:dyDescent="0.25"/>
    <row r="609" ht="17.25" customHeight="1" x14ac:dyDescent="0.25"/>
    <row r="610" ht="17.25" customHeight="1" x14ac:dyDescent="0.25"/>
    <row r="611" ht="17.25" customHeight="1" x14ac:dyDescent="0.25"/>
    <row r="612" ht="17.25" customHeight="1" x14ac:dyDescent="0.25"/>
    <row r="613" ht="17.25" customHeight="1" x14ac:dyDescent="0.25"/>
    <row r="614" ht="17.25" customHeight="1" x14ac:dyDescent="0.25"/>
    <row r="615" ht="17.25" customHeight="1" x14ac:dyDescent="0.25"/>
    <row r="616" ht="17.25" customHeight="1" x14ac:dyDescent="0.25"/>
    <row r="617" ht="17.25" customHeight="1" x14ac:dyDescent="0.25"/>
    <row r="618" ht="17.25" customHeight="1" x14ac:dyDescent="0.25"/>
    <row r="619" ht="17.25" customHeight="1" x14ac:dyDescent="0.25"/>
    <row r="620" ht="17.25" customHeight="1" x14ac:dyDescent="0.25"/>
    <row r="621" ht="17.25" customHeight="1" x14ac:dyDescent="0.25"/>
    <row r="622" ht="17.25" customHeight="1" x14ac:dyDescent="0.25"/>
    <row r="623" ht="17.25" customHeight="1" x14ac:dyDescent="0.25"/>
    <row r="624" ht="17.25" customHeight="1" x14ac:dyDescent="0.25"/>
    <row r="625" ht="17.25" customHeight="1" x14ac:dyDescent="0.25"/>
    <row r="626" ht="17.25" customHeight="1" x14ac:dyDescent="0.25"/>
    <row r="627" ht="17.25" customHeight="1" x14ac:dyDescent="0.25"/>
    <row r="628" ht="17.25" customHeight="1" x14ac:dyDescent="0.25"/>
    <row r="629" ht="17.25" customHeight="1" x14ac:dyDescent="0.25"/>
    <row r="630" ht="17.25" customHeight="1" x14ac:dyDescent="0.25"/>
    <row r="631" ht="17.25" customHeight="1" x14ac:dyDescent="0.25"/>
    <row r="632" ht="17.25" customHeight="1" x14ac:dyDescent="0.25"/>
    <row r="633" ht="17.25" customHeight="1" x14ac:dyDescent="0.25"/>
    <row r="634" ht="17.25" customHeight="1" x14ac:dyDescent="0.25"/>
    <row r="635" ht="17.25" customHeight="1" x14ac:dyDescent="0.25"/>
    <row r="636" ht="17.25" customHeight="1" x14ac:dyDescent="0.25"/>
    <row r="637" ht="17.25" customHeight="1" x14ac:dyDescent="0.25"/>
    <row r="638" ht="17.25" customHeight="1" x14ac:dyDescent="0.25"/>
    <row r="639" ht="17.25" customHeight="1" x14ac:dyDescent="0.25"/>
    <row r="640" ht="17.25" customHeight="1" x14ac:dyDescent="0.25"/>
    <row r="641" ht="17.25" customHeight="1" x14ac:dyDescent="0.25"/>
    <row r="642" ht="17.25" customHeight="1" x14ac:dyDescent="0.25"/>
    <row r="643" ht="17.25" customHeight="1" x14ac:dyDescent="0.25"/>
    <row r="644" ht="17.25" customHeight="1" x14ac:dyDescent="0.25"/>
    <row r="645" ht="17.25" customHeight="1" x14ac:dyDescent="0.25"/>
    <row r="646" ht="17.25" customHeight="1" x14ac:dyDescent="0.25"/>
    <row r="647" ht="17.25" customHeight="1" x14ac:dyDescent="0.25"/>
    <row r="648" ht="17.25" customHeight="1" x14ac:dyDescent="0.25"/>
    <row r="649" ht="17.25" customHeight="1" x14ac:dyDescent="0.25"/>
    <row r="650" ht="17.25" customHeight="1" x14ac:dyDescent="0.25"/>
    <row r="651" ht="17.25" customHeight="1" x14ac:dyDescent="0.25"/>
    <row r="652" ht="17.25" customHeight="1" x14ac:dyDescent="0.25"/>
    <row r="653" ht="17.25" customHeight="1" x14ac:dyDescent="0.25"/>
    <row r="654" ht="17.25" customHeight="1" x14ac:dyDescent="0.25"/>
    <row r="655" ht="17.25" customHeight="1" x14ac:dyDescent="0.25"/>
    <row r="656" ht="17.25" customHeight="1" x14ac:dyDescent="0.25"/>
    <row r="657" ht="17.25" customHeight="1" x14ac:dyDescent="0.25"/>
    <row r="658" ht="17.25" customHeight="1" x14ac:dyDescent="0.25"/>
    <row r="659" ht="17.25" customHeight="1" x14ac:dyDescent="0.25"/>
    <row r="660" ht="17.25" customHeight="1" x14ac:dyDescent="0.25"/>
    <row r="661" ht="17.25" customHeight="1" x14ac:dyDescent="0.25"/>
    <row r="662" ht="17.25" customHeight="1" x14ac:dyDescent="0.25"/>
    <row r="663" ht="17.25" customHeight="1" x14ac:dyDescent="0.25"/>
    <row r="664" ht="17.25" customHeight="1" x14ac:dyDescent="0.25"/>
    <row r="665" ht="17.25" customHeight="1" x14ac:dyDescent="0.25"/>
    <row r="666" ht="17.25" customHeight="1" x14ac:dyDescent="0.25"/>
    <row r="667" ht="17.25" customHeight="1" x14ac:dyDescent="0.25"/>
    <row r="668" ht="17.25" customHeight="1" x14ac:dyDescent="0.25"/>
    <row r="669" ht="17.25" customHeight="1" x14ac:dyDescent="0.25"/>
    <row r="670" ht="17.25" customHeight="1" x14ac:dyDescent="0.25"/>
    <row r="671" ht="17.25" customHeight="1" x14ac:dyDescent="0.25"/>
    <row r="672" ht="17.25" customHeight="1" x14ac:dyDescent="0.25"/>
    <row r="673" ht="17.25" customHeight="1" x14ac:dyDescent="0.25"/>
    <row r="674" ht="17.25" customHeight="1" x14ac:dyDescent="0.25"/>
    <row r="675" ht="17.25" customHeight="1" x14ac:dyDescent="0.25"/>
    <row r="676" ht="17.25" customHeight="1" x14ac:dyDescent="0.25"/>
    <row r="677" ht="17.25" customHeight="1" x14ac:dyDescent="0.25"/>
    <row r="678" ht="17.25" customHeight="1" x14ac:dyDescent="0.25"/>
    <row r="679" ht="17.25" customHeight="1" x14ac:dyDescent="0.25"/>
    <row r="680" ht="17.25" customHeight="1" x14ac:dyDescent="0.25"/>
    <row r="681" ht="17.25" customHeight="1" x14ac:dyDescent="0.25"/>
    <row r="682" ht="17.25" customHeight="1" x14ac:dyDescent="0.25"/>
    <row r="683" ht="17.25" customHeight="1" x14ac:dyDescent="0.25"/>
    <row r="684" ht="17.25" customHeight="1" x14ac:dyDescent="0.25"/>
    <row r="685" ht="17.25" customHeight="1" x14ac:dyDescent="0.25"/>
    <row r="686" ht="17.25" customHeight="1" x14ac:dyDescent="0.25"/>
    <row r="687" ht="17.25" customHeight="1" x14ac:dyDescent="0.25"/>
    <row r="688" ht="17.25" customHeight="1" x14ac:dyDescent="0.25"/>
    <row r="689" ht="17.25" customHeight="1" x14ac:dyDescent="0.25"/>
    <row r="690" ht="17.25" customHeight="1" x14ac:dyDescent="0.25"/>
    <row r="691" ht="17.25" customHeight="1" x14ac:dyDescent="0.25"/>
    <row r="692" ht="17.25" customHeight="1" x14ac:dyDescent="0.25"/>
    <row r="693" ht="17.25" customHeight="1" x14ac:dyDescent="0.25"/>
    <row r="694" ht="17.25" customHeight="1" x14ac:dyDescent="0.25"/>
    <row r="695" ht="17.25" customHeight="1" x14ac:dyDescent="0.25"/>
    <row r="696" ht="17.25" customHeight="1" x14ac:dyDescent="0.25"/>
    <row r="697" ht="17.25" customHeight="1" x14ac:dyDescent="0.25"/>
    <row r="698" ht="17.25" customHeight="1" x14ac:dyDescent="0.25"/>
    <row r="699" ht="17.25" customHeight="1" x14ac:dyDescent="0.25"/>
    <row r="700" ht="17.25" customHeight="1" x14ac:dyDescent="0.25"/>
    <row r="701" ht="17.25" customHeight="1" x14ac:dyDescent="0.25"/>
    <row r="702" ht="17.25" customHeight="1" x14ac:dyDescent="0.25"/>
    <row r="703" ht="17.25" customHeight="1" x14ac:dyDescent="0.25"/>
    <row r="704" ht="17.25" customHeight="1" x14ac:dyDescent="0.25"/>
    <row r="705" ht="17.25" customHeight="1" x14ac:dyDescent="0.25"/>
    <row r="706" ht="17.25" customHeight="1" x14ac:dyDescent="0.25"/>
    <row r="707" ht="17.25" customHeight="1" x14ac:dyDescent="0.25"/>
    <row r="708" ht="17.25" customHeight="1" x14ac:dyDescent="0.25"/>
    <row r="709" ht="17.25" customHeight="1" x14ac:dyDescent="0.25"/>
    <row r="710" ht="17.25" customHeight="1" x14ac:dyDescent="0.25"/>
    <row r="711" ht="17.25" customHeight="1" x14ac:dyDescent="0.25"/>
    <row r="712" ht="17.25" customHeight="1" x14ac:dyDescent="0.25"/>
    <row r="713" ht="17.25" customHeight="1" x14ac:dyDescent="0.25"/>
    <row r="714" ht="17.25" customHeight="1" x14ac:dyDescent="0.25"/>
    <row r="715" ht="17.25" customHeight="1" x14ac:dyDescent="0.25"/>
    <row r="716" ht="17.25" customHeight="1" x14ac:dyDescent="0.25"/>
    <row r="717" ht="17.25" customHeight="1" x14ac:dyDescent="0.25"/>
    <row r="718" ht="17.25" customHeight="1" x14ac:dyDescent="0.25"/>
    <row r="719" ht="17.25" customHeight="1" x14ac:dyDescent="0.25"/>
    <row r="720" ht="17.25" customHeight="1" x14ac:dyDescent="0.25"/>
    <row r="721" ht="17.25" customHeight="1" x14ac:dyDescent="0.25"/>
    <row r="722" ht="17.25" customHeight="1" x14ac:dyDescent="0.25"/>
    <row r="723" ht="17.25" customHeight="1" x14ac:dyDescent="0.25"/>
    <row r="724" ht="17.25" customHeight="1" x14ac:dyDescent="0.25"/>
    <row r="725" ht="17.25" customHeight="1" x14ac:dyDescent="0.25"/>
    <row r="726" ht="17.25" customHeight="1" x14ac:dyDescent="0.25"/>
    <row r="727" ht="17.25" customHeight="1" x14ac:dyDescent="0.25"/>
    <row r="728" ht="17.25" customHeight="1" x14ac:dyDescent="0.25"/>
    <row r="729" ht="17.25" customHeight="1" x14ac:dyDescent="0.25"/>
    <row r="730" ht="17.25" customHeight="1" x14ac:dyDescent="0.25"/>
    <row r="731" ht="17.25" customHeight="1" x14ac:dyDescent="0.25"/>
    <row r="732" ht="17.25" customHeight="1" x14ac:dyDescent="0.25"/>
    <row r="733" ht="17.25" customHeight="1" x14ac:dyDescent="0.25"/>
    <row r="734" ht="17.25" customHeight="1" x14ac:dyDescent="0.25"/>
    <row r="735" ht="17.25" customHeight="1" x14ac:dyDescent="0.25"/>
    <row r="736" ht="17.25" customHeight="1" x14ac:dyDescent="0.25"/>
    <row r="737" ht="17.25" customHeight="1" x14ac:dyDescent="0.25"/>
    <row r="738" ht="17.25" customHeight="1" x14ac:dyDescent="0.25"/>
    <row r="739" ht="17.25" customHeight="1" x14ac:dyDescent="0.25"/>
    <row r="740" ht="17.25" customHeight="1" x14ac:dyDescent="0.25"/>
    <row r="741" ht="17.25" customHeight="1" x14ac:dyDescent="0.25"/>
    <row r="742" ht="17.25" customHeight="1" x14ac:dyDescent="0.25"/>
    <row r="743" ht="17.25" customHeight="1" x14ac:dyDescent="0.25"/>
    <row r="744" ht="17.25" customHeight="1" x14ac:dyDescent="0.25"/>
    <row r="745" ht="17.25" customHeight="1" x14ac:dyDescent="0.25"/>
    <row r="746" ht="17.25" customHeight="1" x14ac:dyDescent="0.25"/>
    <row r="747" ht="17.25" customHeight="1" x14ac:dyDescent="0.25"/>
    <row r="748" ht="17.25" customHeight="1" x14ac:dyDescent="0.25"/>
    <row r="749" ht="17.25" customHeight="1" x14ac:dyDescent="0.25"/>
    <row r="750" ht="17.25" customHeight="1" x14ac:dyDescent="0.25"/>
    <row r="751" ht="17.25" customHeight="1" x14ac:dyDescent="0.25"/>
    <row r="752" ht="17.25" customHeight="1" x14ac:dyDescent="0.25"/>
    <row r="753" ht="17.25" customHeight="1" x14ac:dyDescent="0.25"/>
    <row r="754" ht="17.25" customHeight="1" x14ac:dyDescent="0.25"/>
    <row r="755" ht="17.25" customHeight="1" x14ac:dyDescent="0.25"/>
    <row r="756" ht="17.25" customHeight="1" x14ac:dyDescent="0.25"/>
    <row r="757" ht="17.25" customHeight="1" x14ac:dyDescent="0.25"/>
    <row r="758" ht="17.25" customHeight="1" x14ac:dyDescent="0.25"/>
    <row r="759" ht="17.25" customHeight="1" x14ac:dyDescent="0.25"/>
    <row r="760" ht="17.25" customHeight="1" x14ac:dyDescent="0.25"/>
    <row r="761" ht="17.25" customHeight="1" x14ac:dyDescent="0.25"/>
    <row r="762" ht="17.25" customHeight="1" x14ac:dyDescent="0.25"/>
    <row r="763" ht="17.25" customHeight="1" x14ac:dyDescent="0.25"/>
    <row r="764" ht="17.25" customHeight="1" x14ac:dyDescent="0.25"/>
    <row r="765" ht="17.25" customHeight="1" x14ac:dyDescent="0.25"/>
    <row r="766" ht="17.25" customHeight="1" x14ac:dyDescent="0.25"/>
    <row r="767" ht="17.25" customHeight="1" x14ac:dyDescent="0.25"/>
    <row r="768" ht="17.25" customHeight="1" x14ac:dyDescent="0.25"/>
    <row r="769" ht="17.25" customHeight="1" x14ac:dyDescent="0.25"/>
    <row r="770" ht="17.25" customHeight="1" x14ac:dyDescent="0.25"/>
    <row r="771" ht="17.25" customHeight="1" x14ac:dyDescent="0.25"/>
    <row r="772" ht="17.25" customHeight="1" x14ac:dyDescent="0.25"/>
    <row r="773" ht="17.25" customHeight="1" x14ac:dyDescent="0.25"/>
    <row r="774" ht="17.25" customHeight="1" x14ac:dyDescent="0.25"/>
    <row r="775" ht="17.25" customHeight="1" x14ac:dyDescent="0.25"/>
    <row r="776" ht="17.25" customHeight="1" x14ac:dyDescent="0.25"/>
    <row r="777" ht="17.25" customHeight="1" x14ac:dyDescent="0.25"/>
    <row r="778" ht="17.25" customHeight="1" x14ac:dyDescent="0.25"/>
    <row r="779" ht="17.25" customHeight="1" x14ac:dyDescent="0.25"/>
    <row r="780" ht="17.25" customHeight="1" x14ac:dyDescent="0.25"/>
    <row r="781" ht="17.25" customHeight="1" x14ac:dyDescent="0.25"/>
    <row r="782" ht="17.25" customHeight="1" x14ac:dyDescent="0.25"/>
    <row r="783" ht="17.25" customHeight="1" x14ac:dyDescent="0.25"/>
    <row r="784" ht="17.25" customHeight="1" x14ac:dyDescent="0.25"/>
    <row r="785" ht="17.25" customHeight="1" x14ac:dyDescent="0.25"/>
    <row r="786" ht="17.25" customHeight="1" x14ac:dyDescent="0.25"/>
    <row r="787" ht="17.25" customHeight="1" x14ac:dyDescent="0.25"/>
    <row r="788" ht="17.25" customHeight="1" x14ac:dyDescent="0.25"/>
    <row r="789" ht="17.25" customHeight="1" x14ac:dyDescent="0.25"/>
    <row r="790" ht="17.25" customHeight="1" x14ac:dyDescent="0.25"/>
    <row r="791" ht="17.25" customHeight="1" x14ac:dyDescent="0.25"/>
    <row r="792" ht="17.25" customHeight="1" x14ac:dyDescent="0.25"/>
    <row r="793" ht="17.25" customHeight="1" x14ac:dyDescent="0.25"/>
    <row r="794" ht="17.25" customHeight="1" x14ac:dyDescent="0.25"/>
    <row r="795" ht="17.25" customHeight="1" x14ac:dyDescent="0.25"/>
    <row r="796" ht="17.25" customHeight="1" x14ac:dyDescent="0.25"/>
    <row r="797" ht="17.25" customHeight="1" x14ac:dyDescent="0.25"/>
    <row r="798" ht="17.25" customHeight="1" x14ac:dyDescent="0.25"/>
    <row r="799" ht="17.25" customHeight="1" x14ac:dyDescent="0.25"/>
    <row r="800" ht="17.25" customHeight="1" x14ac:dyDescent="0.25"/>
    <row r="801" ht="17.25" customHeight="1" x14ac:dyDescent="0.25"/>
    <row r="802" ht="17.25" customHeight="1" x14ac:dyDescent="0.25"/>
    <row r="803" ht="17.25" customHeight="1" x14ac:dyDescent="0.25"/>
    <row r="804" ht="17.25" customHeight="1" x14ac:dyDescent="0.25"/>
    <row r="805" ht="17.25" customHeight="1" x14ac:dyDescent="0.25"/>
    <row r="806" ht="17.25" customHeight="1" x14ac:dyDescent="0.25"/>
    <row r="807" ht="17.25" customHeight="1" x14ac:dyDescent="0.25"/>
    <row r="808" ht="17.25" customHeight="1" x14ac:dyDescent="0.25"/>
    <row r="809" ht="17.25" customHeight="1" x14ac:dyDescent="0.25"/>
    <row r="810" ht="17.25" customHeight="1" x14ac:dyDescent="0.25"/>
    <row r="811" ht="17.25" customHeight="1" x14ac:dyDescent="0.25"/>
    <row r="812" ht="17.25" customHeight="1" x14ac:dyDescent="0.25"/>
    <row r="813" ht="17.25" customHeight="1" x14ac:dyDescent="0.25"/>
    <row r="814" ht="17.25" customHeight="1" x14ac:dyDescent="0.25"/>
    <row r="815" ht="17.25" customHeight="1" x14ac:dyDescent="0.25"/>
    <row r="816" ht="17.25" customHeight="1" x14ac:dyDescent="0.25"/>
    <row r="817" ht="17.25" customHeight="1" x14ac:dyDescent="0.25"/>
    <row r="818" ht="17.25" customHeight="1" x14ac:dyDescent="0.25"/>
    <row r="819" ht="17.25" customHeight="1" x14ac:dyDescent="0.25"/>
    <row r="820" ht="17.25" customHeight="1" x14ac:dyDescent="0.25"/>
    <row r="821" ht="17.25" customHeight="1" x14ac:dyDescent="0.25"/>
    <row r="822" ht="17.25" customHeight="1" x14ac:dyDescent="0.25"/>
    <row r="823" ht="17.25" customHeight="1" x14ac:dyDescent="0.25"/>
    <row r="824" ht="17.25" customHeight="1" x14ac:dyDescent="0.25"/>
    <row r="825" ht="17.25" customHeight="1" x14ac:dyDescent="0.25"/>
    <row r="826" ht="17.25" customHeight="1" x14ac:dyDescent="0.25"/>
    <row r="827" ht="17.25" customHeight="1" x14ac:dyDescent="0.25"/>
    <row r="828" ht="17.25" customHeight="1" x14ac:dyDescent="0.25"/>
    <row r="829" ht="17.25" customHeight="1" x14ac:dyDescent="0.25"/>
    <row r="830" ht="17.25" customHeight="1" x14ac:dyDescent="0.25"/>
    <row r="831" ht="17.25" customHeight="1" x14ac:dyDescent="0.25"/>
    <row r="832" ht="17.25" customHeight="1" x14ac:dyDescent="0.25"/>
    <row r="833" ht="17.25" customHeight="1" x14ac:dyDescent="0.25"/>
    <row r="834" ht="17.25" customHeight="1" x14ac:dyDescent="0.25"/>
    <row r="835" ht="17.25" customHeight="1" x14ac:dyDescent="0.25"/>
    <row r="836" ht="17.25" customHeight="1" x14ac:dyDescent="0.25"/>
    <row r="837" ht="17.25" customHeight="1" x14ac:dyDescent="0.25"/>
    <row r="838" ht="17.25" customHeight="1" x14ac:dyDescent="0.25"/>
    <row r="839" ht="17.25" customHeight="1" x14ac:dyDescent="0.25"/>
    <row r="840" ht="17.25" customHeight="1" x14ac:dyDescent="0.25"/>
    <row r="841" ht="17.25" customHeight="1" x14ac:dyDescent="0.25"/>
    <row r="842" ht="17.25" customHeight="1" x14ac:dyDescent="0.25"/>
    <row r="843" ht="17.25" customHeight="1" x14ac:dyDescent="0.25"/>
    <row r="844" ht="17.25" customHeight="1" x14ac:dyDescent="0.25"/>
    <row r="845" ht="17.25" customHeight="1" x14ac:dyDescent="0.25"/>
    <row r="846" ht="17.25" customHeight="1" x14ac:dyDescent="0.25"/>
    <row r="847" ht="17.25" customHeight="1" x14ac:dyDescent="0.25"/>
    <row r="848" ht="17.25" customHeight="1" x14ac:dyDescent="0.25"/>
    <row r="849" ht="17.25" customHeight="1" x14ac:dyDescent="0.25"/>
    <row r="850" ht="17.25" customHeight="1" x14ac:dyDescent="0.25"/>
    <row r="851" ht="17.25" customHeight="1" x14ac:dyDescent="0.25"/>
    <row r="852" ht="17.25" customHeight="1" x14ac:dyDescent="0.25"/>
    <row r="853" ht="17.25" customHeight="1" x14ac:dyDescent="0.25"/>
    <row r="854" ht="17.25" customHeight="1" x14ac:dyDescent="0.25"/>
    <row r="855" ht="17.25" customHeight="1" x14ac:dyDescent="0.25"/>
    <row r="856" ht="17.25" customHeight="1" x14ac:dyDescent="0.25"/>
    <row r="857" ht="17.25" customHeight="1" x14ac:dyDescent="0.25"/>
    <row r="858" ht="17.25" customHeight="1" x14ac:dyDescent="0.25"/>
    <row r="859" ht="17.25" customHeight="1" x14ac:dyDescent="0.25"/>
    <row r="860" ht="17.25" customHeight="1" x14ac:dyDescent="0.25"/>
    <row r="861" ht="17.25" customHeight="1" x14ac:dyDescent="0.25"/>
    <row r="862" ht="17.25" customHeight="1" x14ac:dyDescent="0.25"/>
    <row r="863" ht="17.25" customHeight="1" x14ac:dyDescent="0.25"/>
    <row r="864" ht="17.25" customHeight="1" x14ac:dyDescent="0.25"/>
    <row r="865" ht="17.25" customHeight="1" x14ac:dyDescent="0.25"/>
    <row r="866" ht="17.25" customHeight="1" x14ac:dyDescent="0.25"/>
    <row r="867" ht="17.25" customHeight="1" x14ac:dyDescent="0.25"/>
    <row r="868" ht="17.25" customHeight="1" x14ac:dyDescent="0.25"/>
    <row r="869" ht="17.25" customHeight="1" x14ac:dyDescent="0.25"/>
    <row r="870" ht="17.25" customHeight="1" x14ac:dyDescent="0.25"/>
    <row r="871" ht="17.25" customHeight="1" x14ac:dyDescent="0.25"/>
    <row r="872" ht="17.25" customHeight="1" x14ac:dyDescent="0.25"/>
    <row r="873" ht="17.25" customHeight="1" x14ac:dyDescent="0.25"/>
    <row r="874" ht="17.25" customHeight="1" x14ac:dyDescent="0.25"/>
    <row r="875" ht="17.25" customHeight="1" x14ac:dyDescent="0.25"/>
    <row r="876" ht="17.25" customHeight="1" x14ac:dyDescent="0.25"/>
    <row r="877" ht="17.25" customHeight="1" x14ac:dyDescent="0.25"/>
    <row r="878" ht="17.25" customHeight="1" x14ac:dyDescent="0.25"/>
    <row r="879" ht="17.25" customHeight="1" x14ac:dyDescent="0.25"/>
    <row r="880" ht="17.25" customHeight="1" x14ac:dyDescent="0.25"/>
    <row r="881" ht="17.25" customHeight="1" x14ac:dyDescent="0.25"/>
    <row r="882" ht="17.25" customHeight="1" x14ac:dyDescent="0.25"/>
    <row r="883" ht="17.25" customHeight="1" x14ac:dyDescent="0.25"/>
    <row r="884" ht="17.25" customHeight="1" x14ac:dyDescent="0.25"/>
    <row r="885" ht="17.25" customHeight="1" x14ac:dyDescent="0.25"/>
    <row r="886" ht="17.25" customHeight="1" x14ac:dyDescent="0.25"/>
    <row r="887" ht="17.25" customHeight="1" x14ac:dyDescent="0.25"/>
    <row r="888" ht="17.25" customHeight="1" x14ac:dyDescent="0.25"/>
    <row r="889" ht="17.25" customHeight="1" x14ac:dyDescent="0.25"/>
    <row r="890" ht="17.25" customHeight="1" x14ac:dyDescent="0.25"/>
    <row r="891" ht="17.25" customHeight="1" x14ac:dyDescent="0.25"/>
    <row r="892" ht="17.25" customHeight="1" x14ac:dyDescent="0.25"/>
    <row r="893" ht="17.25" customHeight="1" x14ac:dyDescent="0.25"/>
    <row r="894" ht="17.25" customHeight="1" x14ac:dyDescent="0.25"/>
    <row r="895" ht="17.25" customHeight="1" x14ac:dyDescent="0.25"/>
    <row r="896" ht="17.25" customHeight="1" x14ac:dyDescent="0.25"/>
    <row r="897" ht="17.25" customHeight="1" x14ac:dyDescent="0.25"/>
    <row r="898" ht="17.25" customHeight="1" x14ac:dyDescent="0.25"/>
    <row r="899" ht="17.25" customHeight="1" x14ac:dyDescent="0.25"/>
    <row r="900" ht="17.25" customHeight="1" x14ac:dyDescent="0.25"/>
    <row r="901" ht="17.25" customHeight="1" x14ac:dyDescent="0.25"/>
    <row r="902" ht="17.25" customHeight="1" x14ac:dyDescent="0.25"/>
    <row r="903" ht="17.25" customHeight="1" x14ac:dyDescent="0.25"/>
    <row r="904" ht="17.25" customHeight="1" x14ac:dyDescent="0.25"/>
    <row r="905" ht="17.25" customHeight="1" x14ac:dyDescent="0.25"/>
    <row r="906" ht="17.25" customHeight="1" x14ac:dyDescent="0.25"/>
    <row r="907" ht="17.25" customHeight="1" x14ac:dyDescent="0.25"/>
    <row r="908" ht="17.25" customHeight="1" x14ac:dyDescent="0.25"/>
    <row r="909" ht="17.25" customHeight="1" x14ac:dyDescent="0.25"/>
    <row r="910" ht="17.25" customHeight="1" x14ac:dyDescent="0.25"/>
    <row r="911" ht="17.25" customHeight="1" x14ac:dyDescent="0.25"/>
    <row r="912" ht="17.25" customHeight="1" x14ac:dyDescent="0.25"/>
    <row r="913" ht="17.25" customHeight="1" x14ac:dyDescent="0.25"/>
    <row r="914" ht="17.25" customHeight="1" x14ac:dyDescent="0.25"/>
    <row r="915" ht="17.25" customHeight="1" x14ac:dyDescent="0.25"/>
    <row r="916" ht="17.25" customHeight="1" x14ac:dyDescent="0.25"/>
    <row r="917" ht="17.25" customHeight="1" x14ac:dyDescent="0.25"/>
    <row r="918" ht="17.25" customHeight="1" x14ac:dyDescent="0.25"/>
    <row r="919" ht="17.25" customHeight="1" x14ac:dyDescent="0.25"/>
    <row r="920" ht="17.25" customHeight="1" x14ac:dyDescent="0.25"/>
    <row r="921" ht="17.25" customHeight="1" x14ac:dyDescent="0.25"/>
    <row r="922" ht="17.25" customHeight="1" x14ac:dyDescent="0.25"/>
    <row r="923" ht="17.25" customHeight="1" x14ac:dyDescent="0.25"/>
    <row r="924" ht="17.25" customHeight="1" x14ac:dyDescent="0.25"/>
    <row r="925" ht="17.25" customHeight="1" x14ac:dyDescent="0.25"/>
    <row r="926" ht="17.25" customHeight="1" x14ac:dyDescent="0.25"/>
    <row r="927" ht="17.25" customHeight="1" x14ac:dyDescent="0.25"/>
    <row r="928" ht="17.25" customHeight="1" x14ac:dyDescent="0.25"/>
    <row r="929" ht="17.25" customHeight="1" x14ac:dyDescent="0.25"/>
    <row r="930" ht="17.25" customHeight="1" x14ac:dyDescent="0.25"/>
    <row r="931" ht="17.25" customHeight="1" x14ac:dyDescent="0.25"/>
    <row r="932" ht="17.25" customHeight="1" x14ac:dyDescent="0.25"/>
    <row r="933" ht="17.25" customHeight="1" x14ac:dyDescent="0.25"/>
    <row r="934" ht="17.25" customHeight="1" x14ac:dyDescent="0.25"/>
    <row r="935" ht="17.25" customHeight="1" x14ac:dyDescent="0.25"/>
    <row r="936" ht="17.25" customHeight="1" x14ac:dyDescent="0.25"/>
    <row r="937" ht="17.25" customHeight="1" x14ac:dyDescent="0.25"/>
    <row r="938" ht="17.25" customHeight="1" x14ac:dyDescent="0.25"/>
    <row r="939" ht="17.25" customHeight="1" x14ac:dyDescent="0.25"/>
    <row r="940" ht="17.25" customHeight="1" x14ac:dyDescent="0.25"/>
    <row r="941" ht="17.25" customHeight="1" x14ac:dyDescent="0.25"/>
    <row r="942" ht="17.25" customHeight="1" x14ac:dyDescent="0.25"/>
    <row r="943" ht="17.25" customHeight="1" x14ac:dyDescent="0.25"/>
    <row r="944" ht="17.25" customHeight="1" x14ac:dyDescent="0.25"/>
    <row r="945" ht="17.25" customHeight="1" x14ac:dyDescent="0.25"/>
    <row r="946" ht="17.25" customHeight="1" x14ac:dyDescent="0.25"/>
    <row r="947" ht="17.25" customHeight="1" x14ac:dyDescent="0.25"/>
    <row r="948" ht="17.25" customHeight="1" x14ac:dyDescent="0.25"/>
    <row r="949" ht="17.25" customHeight="1" x14ac:dyDescent="0.25"/>
    <row r="950" ht="17.25" customHeight="1" x14ac:dyDescent="0.25"/>
    <row r="951" ht="17.25" customHeight="1" x14ac:dyDescent="0.25"/>
    <row r="952" ht="17.25" customHeight="1" x14ac:dyDescent="0.25"/>
    <row r="953" ht="17.25" customHeight="1" x14ac:dyDescent="0.25"/>
    <row r="954" ht="17.25" customHeight="1" x14ac:dyDescent="0.25"/>
    <row r="955" ht="17.25" customHeight="1" x14ac:dyDescent="0.25"/>
    <row r="956" ht="17.25" customHeight="1" x14ac:dyDescent="0.25"/>
    <row r="957" ht="17.25" customHeight="1" x14ac:dyDescent="0.25"/>
    <row r="958" ht="17.25" customHeight="1" x14ac:dyDescent="0.25"/>
    <row r="959" ht="17.25" customHeight="1" x14ac:dyDescent="0.25"/>
    <row r="960" ht="17.25" customHeight="1" x14ac:dyDescent="0.25"/>
    <row r="961" ht="17.25" customHeight="1" x14ac:dyDescent="0.25"/>
    <row r="962" ht="17.25" customHeight="1" x14ac:dyDescent="0.25"/>
    <row r="963" ht="17.25" customHeight="1" x14ac:dyDescent="0.25"/>
    <row r="964" ht="17.25" customHeight="1" x14ac:dyDescent="0.25"/>
    <row r="965" ht="17.25" customHeight="1" x14ac:dyDescent="0.25"/>
    <row r="966" ht="17.25" customHeight="1" x14ac:dyDescent="0.25"/>
    <row r="967" ht="17.25" customHeight="1" x14ac:dyDescent="0.25"/>
    <row r="968" ht="17.25" customHeight="1" x14ac:dyDescent="0.25"/>
    <row r="969" ht="17.25" customHeight="1" x14ac:dyDescent="0.25"/>
    <row r="970" ht="17.25" customHeight="1" x14ac:dyDescent="0.25"/>
    <row r="971" ht="17.25" customHeight="1" x14ac:dyDescent="0.25"/>
    <row r="972" ht="17.25" customHeight="1" x14ac:dyDescent="0.25"/>
    <row r="973" ht="17.25" customHeight="1" x14ac:dyDescent="0.25"/>
    <row r="974" ht="17.25" customHeight="1" x14ac:dyDescent="0.25"/>
    <row r="975" ht="17.25" customHeight="1" x14ac:dyDescent="0.25"/>
    <row r="976" ht="17.25" customHeight="1" x14ac:dyDescent="0.25"/>
    <row r="977" ht="17.25" customHeight="1" x14ac:dyDescent="0.25"/>
    <row r="978" ht="17.25" customHeight="1" x14ac:dyDescent="0.25"/>
    <row r="979" ht="17.25" customHeight="1" x14ac:dyDescent="0.25"/>
    <row r="980" ht="17.25" customHeight="1" x14ac:dyDescent="0.25"/>
    <row r="981" ht="17.25" customHeight="1" x14ac:dyDescent="0.25"/>
    <row r="982" ht="17.25" customHeight="1" x14ac:dyDescent="0.25"/>
    <row r="983" ht="17.25" customHeight="1" x14ac:dyDescent="0.25"/>
    <row r="984" ht="17.25" customHeight="1" x14ac:dyDescent="0.25"/>
    <row r="985" ht="17.25" customHeight="1" x14ac:dyDescent="0.25"/>
    <row r="986" ht="17.25" customHeight="1" x14ac:dyDescent="0.25"/>
    <row r="987" ht="17.25" customHeight="1" x14ac:dyDescent="0.25"/>
    <row r="988" ht="17.25" customHeight="1" x14ac:dyDescent="0.25"/>
    <row r="989" ht="17.25" customHeight="1" x14ac:dyDescent="0.25"/>
    <row r="990" ht="17.25" customHeight="1" x14ac:dyDescent="0.25"/>
    <row r="991" ht="17.25" customHeight="1" x14ac:dyDescent="0.25"/>
    <row r="992" ht="17.25" customHeight="1" x14ac:dyDescent="0.25"/>
    <row r="993" ht="17.25" customHeight="1" x14ac:dyDescent="0.25"/>
    <row r="994" ht="17.25" customHeight="1" x14ac:dyDescent="0.25"/>
    <row r="995" ht="17.25" customHeight="1" x14ac:dyDescent="0.25"/>
    <row r="996" ht="17.25" customHeight="1" x14ac:dyDescent="0.25"/>
    <row r="997" ht="17.25" customHeight="1" x14ac:dyDescent="0.25"/>
    <row r="998" ht="17.25" customHeight="1" x14ac:dyDescent="0.25"/>
    <row r="999" ht="17.25" customHeight="1" x14ac:dyDescent="0.25"/>
    <row r="1000" ht="17.25" customHeight="1" x14ac:dyDescent="0.25"/>
  </sheetData>
  <sheetProtection algorithmName="SHA-512" hashValue="lj4DPoEwWD+O3kmZedpaZH0cfjbKFmc/VkVcMVq7r+DbvD54SkOYvNfazJNZ4c+rPUxjuTkVOro6rv2sP4uozw==" saltValue="T7kRSfCqjMxzHGS7tPJKew==" spinCount="100000" sheet="1" objects="1" scenarios="1"/>
  <mergeCells count="4">
    <mergeCell ref="A16:C16"/>
    <mergeCell ref="A61:C61"/>
    <mergeCell ref="A84:C84"/>
    <mergeCell ref="D108:F108"/>
  </mergeCells>
  <conditionalFormatting sqref="B94">
    <cfRule type="cellIs" dxfId="1" priority="2" operator="lessThan">
      <formula>$B$25</formula>
    </cfRule>
  </conditionalFormatting>
  <conditionalFormatting sqref="B118">
    <cfRule type="cellIs" dxfId="0" priority="1" operator="lessThan">
      <formula>$B$25</formula>
    </cfRule>
  </conditionalFormatting>
  <dataValidations count="12">
    <dataValidation type="list" allowBlank="1" showErrorMessage="1" sqref="B5" xr:uid="{00000000-0002-0000-0000-000000000000}">
      <formula1>$Q$13:$Q$16</formula1>
    </dataValidation>
    <dataValidation allowBlank="1" showErrorMessage="1" sqref="B28 G17 H24 B72 B96 C78:F78 B120" xr:uid="{00000000-0002-0000-0000-000001000000}"/>
    <dataValidation type="list" allowBlank="1" showErrorMessage="1" sqref="B3" xr:uid="{00000000-0002-0000-0000-000002000000}">
      <formula1>$Q$3:$Q$7</formula1>
    </dataValidation>
    <dataValidation type="list" allowBlank="1" showErrorMessage="1" sqref="B11" xr:uid="{00000000-0002-0000-0000-000003000000}">
      <formula1>$Q$28:$Q$31</formula1>
    </dataValidation>
    <dataValidation type="list" allowBlank="1" showErrorMessage="1" sqref="B9" xr:uid="{00000000-0002-0000-0000-000004000000}">
      <formula1>$Q$37:$Q$38</formula1>
    </dataValidation>
    <dataValidation type="list" allowBlank="1" showErrorMessage="1" sqref="B4" xr:uid="{00000000-0002-0000-0000-000005000000}">
      <formula1>$Q$8:$Q$12</formula1>
    </dataValidation>
    <dataValidation type="list" allowBlank="1" showErrorMessage="1" sqref="B10" xr:uid="{00000000-0002-0000-0000-000006000000}">
      <formula1>$Q$43:$Q$45</formula1>
    </dataValidation>
    <dataValidation type="list" allowBlank="1" showErrorMessage="1" sqref="B6" xr:uid="{00000000-0002-0000-0000-000008000000}">
      <formula1>$Q$18:$Q$22</formula1>
    </dataValidation>
    <dataValidation type="list" allowBlank="1" showErrorMessage="1" sqref="B8 B57 B79 B107" xr:uid="{00000000-0002-0000-0000-000009000000}">
      <formula1>$Q$33:$Q$36</formula1>
    </dataValidation>
    <dataValidation type="list" allowBlank="1" showErrorMessage="1" sqref="J44 J42" xr:uid="{00000000-0002-0000-0000-00000A000000}">
      <formula1>#REF!</formula1>
    </dataValidation>
    <dataValidation type="list" allowBlank="1" showErrorMessage="1" sqref="B7" xr:uid="{00000000-0002-0000-0000-00000B000000}">
      <formula1>$Q$23:$Q$27</formula1>
    </dataValidation>
    <dataValidation type="list" allowBlank="1" showErrorMessage="1" sqref="J3" xr:uid="{10FE5877-A4E5-4DB1-B159-D7F017544202}">
      <formula1>$M$3:$M$11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A9B6B-8CB0-4390-B24A-65EE9BE460CC}">
  <dimension ref="A1:F124"/>
  <sheetViews>
    <sheetView workbookViewId="0">
      <selection activeCell="F112" sqref="F112"/>
    </sheetView>
  </sheetViews>
  <sheetFormatPr defaultColWidth="8.625" defaultRowHeight="14.25" x14ac:dyDescent="0.2"/>
  <cols>
    <col min="1" max="1" width="7.625" style="1" customWidth="1"/>
    <col min="2" max="2" width="16.125" style="1" customWidth="1"/>
    <col min="3" max="3" width="16.625" style="1" customWidth="1"/>
    <col min="4" max="4" width="14" style="4" customWidth="1"/>
    <col min="5" max="5" width="13.125" style="3" bestFit="1" customWidth="1"/>
    <col min="6" max="6" width="15.375" style="3" customWidth="1"/>
    <col min="7" max="16384" width="8.625" style="3"/>
  </cols>
  <sheetData>
    <row r="1" spans="1:6" x14ac:dyDescent="0.2">
      <c r="A1" s="2" t="s">
        <v>132</v>
      </c>
      <c r="B1" s="2" t="s">
        <v>133</v>
      </c>
      <c r="C1" s="2" t="s">
        <v>134</v>
      </c>
      <c r="D1" s="3" t="s">
        <v>22</v>
      </c>
      <c r="F1" s="3" t="s">
        <v>5</v>
      </c>
    </row>
    <row r="2" spans="1:6" x14ac:dyDescent="0.2">
      <c r="A2" s="2" t="s">
        <v>135</v>
      </c>
      <c r="B2" s="2" t="s">
        <v>136</v>
      </c>
      <c r="C2" s="2" t="s">
        <v>137</v>
      </c>
      <c r="D2" s="3" t="s">
        <v>2</v>
      </c>
      <c r="F2" s="3" t="s">
        <v>9</v>
      </c>
    </row>
    <row r="3" spans="1:6" x14ac:dyDescent="0.2">
      <c r="A3" s="2" t="s">
        <v>138</v>
      </c>
      <c r="B3" s="2" t="s">
        <v>19</v>
      </c>
      <c r="C3" s="2" t="s">
        <v>139</v>
      </c>
      <c r="D3" s="3" t="s">
        <v>19</v>
      </c>
      <c r="F3" s="3" t="s">
        <v>10</v>
      </c>
    </row>
    <row r="4" spans="1:6" x14ac:dyDescent="0.2">
      <c r="A4" s="2" t="s">
        <v>140</v>
      </c>
      <c r="B4" s="2" t="s">
        <v>141</v>
      </c>
      <c r="C4" s="2" t="s">
        <v>142</v>
      </c>
      <c r="D4" s="3" t="s">
        <v>5</v>
      </c>
      <c r="F4" s="3" t="s">
        <v>2</v>
      </c>
    </row>
    <row r="5" spans="1:6" x14ac:dyDescent="0.2">
      <c r="A5" s="2" t="s">
        <v>143</v>
      </c>
      <c r="B5" s="2" t="s">
        <v>144</v>
      </c>
      <c r="C5" s="2" t="s">
        <v>145</v>
      </c>
      <c r="D5" s="3" t="s">
        <v>17</v>
      </c>
      <c r="F5" s="3" t="s">
        <v>17</v>
      </c>
    </row>
    <row r="6" spans="1:6" x14ac:dyDescent="0.2">
      <c r="A6" s="2" t="s">
        <v>146</v>
      </c>
      <c r="B6" s="2" t="s">
        <v>147</v>
      </c>
      <c r="C6" s="2" t="s">
        <v>145</v>
      </c>
      <c r="D6" s="3" t="s">
        <v>17</v>
      </c>
      <c r="F6" s="3" t="s">
        <v>19</v>
      </c>
    </row>
    <row r="7" spans="1:6" x14ac:dyDescent="0.2">
      <c r="A7" s="2" t="s">
        <v>148</v>
      </c>
      <c r="B7" s="2" t="s">
        <v>149</v>
      </c>
      <c r="C7" s="2" t="s">
        <v>142</v>
      </c>
      <c r="D7" s="3" t="s">
        <v>5</v>
      </c>
      <c r="F7" s="3" t="s">
        <v>22</v>
      </c>
    </row>
    <row r="8" spans="1:6" x14ac:dyDescent="0.2">
      <c r="A8" s="2" t="s">
        <v>150</v>
      </c>
      <c r="B8" s="2" t="s">
        <v>151</v>
      </c>
      <c r="C8" s="2" t="s">
        <v>145</v>
      </c>
      <c r="D8" s="3" t="s">
        <v>17</v>
      </c>
      <c r="F8" s="3" t="s">
        <v>28</v>
      </c>
    </row>
    <row r="9" spans="1:6" x14ac:dyDescent="0.2">
      <c r="A9" s="2" t="s">
        <v>152</v>
      </c>
      <c r="B9" s="2" t="s">
        <v>153</v>
      </c>
      <c r="C9" s="2" t="s">
        <v>154</v>
      </c>
      <c r="D9" s="3" t="s">
        <v>5</v>
      </c>
      <c r="F9" s="3" t="s">
        <v>30</v>
      </c>
    </row>
    <row r="10" spans="1:6" x14ac:dyDescent="0.2">
      <c r="A10" s="2" t="s">
        <v>155</v>
      </c>
      <c r="B10" s="2" t="s">
        <v>156</v>
      </c>
      <c r="C10" s="2" t="s">
        <v>157</v>
      </c>
      <c r="D10" s="3" t="s">
        <v>2</v>
      </c>
    </row>
    <row r="11" spans="1:6" x14ac:dyDescent="0.2">
      <c r="A11" s="2" t="s">
        <v>158</v>
      </c>
      <c r="B11" s="2" t="s">
        <v>159</v>
      </c>
      <c r="C11" s="2" t="s">
        <v>142</v>
      </c>
      <c r="D11" s="3" t="s">
        <v>5</v>
      </c>
    </row>
    <row r="12" spans="1:6" x14ac:dyDescent="0.2">
      <c r="A12" s="2" t="s">
        <v>160</v>
      </c>
      <c r="B12" s="2" t="s">
        <v>9</v>
      </c>
      <c r="C12" s="2" t="s">
        <v>161</v>
      </c>
      <c r="D12" s="3" t="s">
        <v>9</v>
      </c>
    </row>
    <row r="13" spans="1:6" x14ac:dyDescent="0.2">
      <c r="A13" s="2" t="s">
        <v>162</v>
      </c>
      <c r="B13" s="2" t="s">
        <v>163</v>
      </c>
      <c r="C13" s="2" t="s">
        <v>145</v>
      </c>
      <c r="D13" s="3" t="s">
        <v>17</v>
      </c>
    </row>
    <row r="14" spans="1:6" x14ac:dyDescent="0.2">
      <c r="A14" s="2" t="s">
        <v>164</v>
      </c>
      <c r="B14" s="2" t="s">
        <v>165</v>
      </c>
      <c r="C14" s="2" t="s">
        <v>137</v>
      </c>
      <c r="D14" s="3" t="s">
        <v>19</v>
      </c>
    </row>
    <row r="15" spans="1:6" x14ac:dyDescent="0.2">
      <c r="A15" s="2" t="s">
        <v>166</v>
      </c>
      <c r="B15" s="2" t="s">
        <v>10</v>
      </c>
      <c r="C15" s="2" t="s">
        <v>167</v>
      </c>
      <c r="D15" s="3" t="s">
        <v>5</v>
      </c>
    </row>
    <row r="16" spans="1:6" x14ac:dyDescent="0.2">
      <c r="A16" s="2" t="s">
        <v>168</v>
      </c>
      <c r="B16" s="2" t="s">
        <v>169</v>
      </c>
      <c r="C16" s="2" t="s">
        <v>145</v>
      </c>
      <c r="D16" s="3" t="s">
        <v>17</v>
      </c>
    </row>
    <row r="17" spans="1:4" x14ac:dyDescent="0.2">
      <c r="A17" s="2" t="s">
        <v>170</v>
      </c>
      <c r="B17" s="2" t="s">
        <v>171</v>
      </c>
      <c r="C17" s="2" t="s">
        <v>137</v>
      </c>
      <c r="D17" s="3" t="s">
        <v>19</v>
      </c>
    </row>
    <row r="18" spans="1:4" x14ac:dyDescent="0.2">
      <c r="A18" s="2" t="s">
        <v>172</v>
      </c>
      <c r="B18" s="2" t="s">
        <v>173</v>
      </c>
      <c r="C18" s="2" t="s">
        <v>137</v>
      </c>
      <c r="D18" s="3" t="s">
        <v>19</v>
      </c>
    </row>
    <row r="19" spans="1:4" x14ac:dyDescent="0.2">
      <c r="A19" s="2" t="s">
        <v>174</v>
      </c>
      <c r="B19" s="2" t="s">
        <v>175</v>
      </c>
      <c r="C19" s="2" t="s">
        <v>157</v>
      </c>
      <c r="D19" s="3" t="s">
        <v>2</v>
      </c>
    </row>
    <row r="20" spans="1:4" x14ac:dyDescent="0.2">
      <c r="A20" s="2" t="s">
        <v>176</v>
      </c>
      <c r="B20" s="2" t="s">
        <v>177</v>
      </c>
      <c r="C20" s="2" t="s">
        <v>154</v>
      </c>
      <c r="D20" s="3" t="s">
        <v>19</v>
      </c>
    </row>
    <row r="21" spans="1:4" x14ac:dyDescent="0.2">
      <c r="A21" s="2" t="s">
        <v>178</v>
      </c>
      <c r="B21" s="2" t="s">
        <v>179</v>
      </c>
      <c r="C21" s="2" t="s">
        <v>139</v>
      </c>
      <c r="D21" s="3" t="s">
        <v>19</v>
      </c>
    </row>
    <row r="22" spans="1:4" x14ac:dyDescent="0.2">
      <c r="A22" s="2" t="s">
        <v>180</v>
      </c>
      <c r="B22" s="2" t="s">
        <v>181</v>
      </c>
      <c r="C22" s="2" t="s">
        <v>145</v>
      </c>
      <c r="D22" s="3" t="s">
        <v>17</v>
      </c>
    </row>
    <row r="23" spans="1:4" x14ac:dyDescent="0.2">
      <c r="A23" s="2" t="s">
        <v>182</v>
      </c>
      <c r="B23" s="2" t="s">
        <v>183</v>
      </c>
      <c r="C23" s="2" t="s">
        <v>157</v>
      </c>
      <c r="D23" s="3" t="s">
        <v>2</v>
      </c>
    </row>
    <row r="24" spans="1:4" x14ac:dyDescent="0.2">
      <c r="A24" s="2" t="s">
        <v>184</v>
      </c>
      <c r="B24" s="2" t="s">
        <v>185</v>
      </c>
      <c r="C24" s="2" t="s">
        <v>134</v>
      </c>
      <c r="D24" s="3" t="s">
        <v>22</v>
      </c>
    </row>
    <row r="25" spans="1:4" x14ac:dyDescent="0.2">
      <c r="A25" s="2" t="s">
        <v>186</v>
      </c>
      <c r="B25" s="2" t="s">
        <v>187</v>
      </c>
      <c r="C25" s="2" t="s">
        <v>188</v>
      </c>
      <c r="D25" s="3" t="s">
        <v>17</v>
      </c>
    </row>
    <row r="26" spans="1:4" x14ac:dyDescent="0.2">
      <c r="A26" s="2" t="s">
        <v>189</v>
      </c>
      <c r="B26" s="2" t="s">
        <v>190</v>
      </c>
      <c r="C26" s="2" t="s">
        <v>134</v>
      </c>
      <c r="D26" s="3" t="s">
        <v>22</v>
      </c>
    </row>
    <row r="27" spans="1:4" x14ac:dyDescent="0.2">
      <c r="A27" s="2" t="s">
        <v>191</v>
      </c>
      <c r="B27" s="2" t="s">
        <v>192</v>
      </c>
      <c r="C27" s="2" t="s">
        <v>193</v>
      </c>
      <c r="D27" s="3" t="s">
        <v>17</v>
      </c>
    </row>
    <row r="28" spans="1:4" x14ac:dyDescent="0.2">
      <c r="A28" s="2" t="s">
        <v>194</v>
      </c>
      <c r="B28" s="2" t="s">
        <v>195</v>
      </c>
      <c r="C28" s="2" t="s">
        <v>193</v>
      </c>
      <c r="D28" s="3" t="s">
        <v>17</v>
      </c>
    </row>
    <row r="29" spans="1:4" x14ac:dyDescent="0.2">
      <c r="A29" s="2" t="s">
        <v>196</v>
      </c>
      <c r="B29" s="2" t="s">
        <v>197</v>
      </c>
      <c r="C29" s="2" t="s">
        <v>188</v>
      </c>
      <c r="D29" s="3" t="s">
        <v>19</v>
      </c>
    </row>
    <row r="30" spans="1:4" x14ac:dyDescent="0.2">
      <c r="A30" s="2" t="s">
        <v>198</v>
      </c>
      <c r="B30" s="2" t="s">
        <v>199</v>
      </c>
      <c r="C30" s="2" t="s">
        <v>142</v>
      </c>
      <c r="D30" s="3" t="s">
        <v>5</v>
      </c>
    </row>
    <row r="31" spans="1:4" x14ac:dyDescent="0.2">
      <c r="A31" s="2" t="s">
        <v>200</v>
      </c>
      <c r="B31" s="2" t="s">
        <v>201</v>
      </c>
      <c r="C31" s="2" t="s">
        <v>139</v>
      </c>
      <c r="D31" s="3" t="s">
        <v>17</v>
      </c>
    </row>
    <row r="32" spans="1:4" x14ac:dyDescent="0.2">
      <c r="A32" s="2" t="s">
        <v>202</v>
      </c>
      <c r="B32" s="2" t="s">
        <v>2</v>
      </c>
      <c r="C32" s="2" t="s">
        <v>157</v>
      </c>
      <c r="D32" s="3" t="s">
        <v>2</v>
      </c>
    </row>
    <row r="33" spans="1:4" x14ac:dyDescent="0.2">
      <c r="A33" s="2" t="s">
        <v>203</v>
      </c>
      <c r="B33" s="2" t="s">
        <v>2</v>
      </c>
      <c r="C33" s="2" t="s">
        <v>157</v>
      </c>
      <c r="D33" s="3" t="s">
        <v>2</v>
      </c>
    </row>
    <row r="34" spans="1:4" x14ac:dyDescent="0.2">
      <c r="A34" s="2" t="s">
        <v>204</v>
      </c>
      <c r="B34" s="2" t="s">
        <v>22</v>
      </c>
      <c r="C34" s="2" t="s">
        <v>134</v>
      </c>
      <c r="D34" s="3" t="s">
        <v>22</v>
      </c>
    </row>
    <row r="35" spans="1:4" x14ac:dyDescent="0.2">
      <c r="A35" s="2" t="s">
        <v>205</v>
      </c>
      <c r="B35" s="2" t="s">
        <v>206</v>
      </c>
      <c r="C35" s="2" t="s">
        <v>157</v>
      </c>
      <c r="D35" s="3" t="s">
        <v>2</v>
      </c>
    </row>
    <row r="36" spans="1:4" x14ac:dyDescent="0.2">
      <c r="A36" s="2" t="s">
        <v>207</v>
      </c>
      <c r="B36" s="2" t="s">
        <v>208</v>
      </c>
      <c r="C36" s="2" t="s">
        <v>142</v>
      </c>
      <c r="D36" s="3" t="s">
        <v>5</v>
      </c>
    </row>
    <row r="37" spans="1:4" x14ac:dyDescent="0.2">
      <c r="A37" s="2" t="s">
        <v>209</v>
      </c>
      <c r="B37" s="2" t="s">
        <v>210</v>
      </c>
      <c r="C37" s="2" t="s">
        <v>134</v>
      </c>
      <c r="D37" s="3" t="s">
        <v>22</v>
      </c>
    </row>
    <row r="38" spans="1:4" x14ac:dyDescent="0.2">
      <c r="A38" s="2" t="s">
        <v>211</v>
      </c>
      <c r="B38" s="2" t="s">
        <v>212</v>
      </c>
      <c r="C38" s="2" t="s">
        <v>145</v>
      </c>
      <c r="D38" s="3" t="s">
        <v>17</v>
      </c>
    </row>
    <row r="39" spans="1:4" x14ac:dyDescent="0.2">
      <c r="A39" s="2" t="s">
        <v>213</v>
      </c>
      <c r="B39" s="2" t="s">
        <v>28</v>
      </c>
      <c r="C39" s="2" t="s">
        <v>134</v>
      </c>
      <c r="D39" s="5" t="s">
        <v>28</v>
      </c>
    </row>
    <row r="40" spans="1:4" x14ac:dyDescent="0.2">
      <c r="A40" s="2" t="s">
        <v>214</v>
      </c>
      <c r="B40" s="2" t="s">
        <v>215</v>
      </c>
      <c r="C40" s="2" t="s">
        <v>142</v>
      </c>
      <c r="D40" s="3" t="s">
        <v>5</v>
      </c>
    </row>
    <row r="41" spans="1:4" x14ac:dyDescent="0.2">
      <c r="A41" s="2" t="s">
        <v>216</v>
      </c>
      <c r="B41" s="2" t="s">
        <v>217</v>
      </c>
      <c r="C41" s="2" t="s">
        <v>154</v>
      </c>
      <c r="D41" s="3" t="s">
        <v>2</v>
      </c>
    </row>
    <row r="42" spans="1:4" x14ac:dyDescent="0.2">
      <c r="A42" s="2" t="s">
        <v>218</v>
      </c>
      <c r="B42" s="2" t="s">
        <v>219</v>
      </c>
      <c r="C42" s="2" t="s">
        <v>30</v>
      </c>
      <c r="D42" s="3" t="s">
        <v>30</v>
      </c>
    </row>
    <row r="43" spans="1:4" x14ac:dyDescent="0.2">
      <c r="A43" s="2" t="s">
        <v>220</v>
      </c>
      <c r="B43" s="2" t="s">
        <v>221</v>
      </c>
      <c r="C43" s="2" t="s">
        <v>157</v>
      </c>
      <c r="D43" s="3" t="s">
        <v>2</v>
      </c>
    </row>
    <row r="44" spans="1:4" x14ac:dyDescent="0.2">
      <c r="A44" s="2" t="s">
        <v>222</v>
      </c>
      <c r="B44" s="2" t="s">
        <v>223</v>
      </c>
      <c r="C44" s="2" t="s">
        <v>145</v>
      </c>
      <c r="D44" s="3" t="s">
        <v>17</v>
      </c>
    </row>
    <row r="45" spans="1:4" x14ac:dyDescent="0.2">
      <c r="A45" s="2" t="s">
        <v>224</v>
      </c>
      <c r="B45" s="2" t="s">
        <v>225</v>
      </c>
      <c r="C45" s="2" t="s">
        <v>193</v>
      </c>
      <c r="D45" s="3" t="s">
        <v>17</v>
      </c>
    </row>
    <row r="46" spans="1:4" x14ac:dyDescent="0.2">
      <c r="A46" s="2" t="s">
        <v>226</v>
      </c>
      <c r="B46" s="2" t="s">
        <v>227</v>
      </c>
      <c r="C46" s="2" t="s">
        <v>137</v>
      </c>
      <c r="D46" s="3" t="s">
        <v>2</v>
      </c>
    </row>
    <row r="47" spans="1:4" x14ac:dyDescent="0.2">
      <c r="A47" s="2" t="s">
        <v>228</v>
      </c>
      <c r="B47" s="2" t="s">
        <v>229</v>
      </c>
      <c r="C47" s="2" t="s">
        <v>139</v>
      </c>
      <c r="D47" s="3" t="s">
        <v>19</v>
      </c>
    </row>
    <row r="48" spans="1:4" ht="28.5" x14ac:dyDescent="0.2">
      <c r="A48" s="2" t="s">
        <v>230</v>
      </c>
      <c r="B48" s="2" t="s">
        <v>231</v>
      </c>
      <c r="C48" s="2" t="s">
        <v>134</v>
      </c>
      <c r="D48" s="3" t="s">
        <v>22</v>
      </c>
    </row>
    <row r="49" spans="1:4" x14ac:dyDescent="0.2">
      <c r="A49" s="2" t="s">
        <v>232</v>
      </c>
      <c r="B49" s="2" t="s">
        <v>233</v>
      </c>
      <c r="C49" s="2" t="s">
        <v>193</v>
      </c>
      <c r="D49" s="3" t="s">
        <v>17</v>
      </c>
    </row>
    <row r="50" spans="1:4" x14ac:dyDescent="0.2">
      <c r="A50" s="2" t="s">
        <v>234</v>
      </c>
      <c r="B50" s="2" t="s">
        <v>235</v>
      </c>
      <c r="C50" s="2" t="s">
        <v>145</v>
      </c>
      <c r="D50" s="3" t="s">
        <v>17</v>
      </c>
    </row>
    <row r="51" spans="1:4" x14ac:dyDescent="0.2">
      <c r="A51" s="2" t="s">
        <v>236</v>
      </c>
      <c r="B51" s="2" t="s">
        <v>237</v>
      </c>
      <c r="C51" s="2" t="s">
        <v>157</v>
      </c>
      <c r="D51" s="3" t="s">
        <v>2</v>
      </c>
    </row>
    <row r="52" spans="1:4" x14ac:dyDescent="0.2">
      <c r="A52" s="2" t="s">
        <v>238</v>
      </c>
      <c r="B52" s="2" t="s">
        <v>239</v>
      </c>
      <c r="C52" s="2" t="s">
        <v>239</v>
      </c>
      <c r="D52" s="3" t="s">
        <v>17</v>
      </c>
    </row>
    <row r="53" spans="1:4" x14ac:dyDescent="0.2">
      <c r="A53" s="2" t="s">
        <v>240</v>
      </c>
      <c r="B53" s="2" t="s">
        <v>241</v>
      </c>
      <c r="C53" s="2" t="s">
        <v>137</v>
      </c>
      <c r="D53" s="3" t="s">
        <v>19</v>
      </c>
    </row>
    <row r="54" spans="1:4" x14ac:dyDescent="0.2">
      <c r="A54" s="2" t="s">
        <v>242</v>
      </c>
      <c r="B54" s="2" t="s">
        <v>243</v>
      </c>
      <c r="C54" s="2" t="s">
        <v>134</v>
      </c>
      <c r="D54" s="3" t="s">
        <v>22</v>
      </c>
    </row>
    <row r="55" spans="1:4" x14ac:dyDescent="0.2">
      <c r="A55" s="2" t="s">
        <v>244</v>
      </c>
      <c r="B55" s="2" t="s">
        <v>245</v>
      </c>
      <c r="C55" s="2" t="s">
        <v>30</v>
      </c>
      <c r="D55" s="3" t="s">
        <v>30</v>
      </c>
    </row>
    <row r="56" spans="1:4" x14ac:dyDescent="0.2">
      <c r="A56" s="2" t="s">
        <v>246</v>
      </c>
      <c r="B56" s="2" t="s">
        <v>247</v>
      </c>
      <c r="C56" s="2" t="s">
        <v>134</v>
      </c>
      <c r="D56" s="3" t="s">
        <v>22</v>
      </c>
    </row>
    <row r="57" spans="1:4" x14ac:dyDescent="0.2">
      <c r="A57" s="2" t="s">
        <v>248</v>
      </c>
      <c r="B57" s="2" t="s">
        <v>249</v>
      </c>
      <c r="C57" s="2" t="s">
        <v>157</v>
      </c>
      <c r="D57" s="3" t="s">
        <v>2</v>
      </c>
    </row>
    <row r="58" spans="1:4" x14ac:dyDescent="0.2">
      <c r="A58" s="2" t="s">
        <v>250</v>
      </c>
      <c r="B58" s="2" t="s">
        <v>251</v>
      </c>
      <c r="C58" s="2" t="s">
        <v>134</v>
      </c>
      <c r="D58" s="3" t="s">
        <v>22</v>
      </c>
    </row>
    <row r="59" spans="1:4" x14ac:dyDescent="0.2">
      <c r="A59" s="2" t="s">
        <v>252</v>
      </c>
      <c r="B59" s="2" t="s">
        <v>253</v>
      </c>
      <c r="C59" s="2" t="s">
        <v>134</v>
      </c>
      <c r="D59" s="3" t="s">
        <v>22</v>
      </c>
    </row>
    <row r="60" spans="1:4" x14ac:dyDescent="0.2">
      <c r="A60" s="2" t="s">
        <v>254</v>
      </c>
      <c r="B60" s="2" t="s">
        <v>255</v>
      </c>
      <c r="C60" s="2" t="s">
        <v>145</v>
      </c>
      <c r="D60" s="3" t="s">
        <v>17</v>
      </c>
    </row>
    <row r="61" spans="1:4" x14ac:dyDescent="0.2">
      <c r="A61" s="2" t="s">
        <v>256</v>
      </c>
      <c r="B61" s="2" t="s">
        <v>257</v>
      </c>
      <c r="C61" s="2" t="s">
        <v>145</v>
      </c>
      <c r="D61" s="3" t="s">
        <v>17</v>
      </c>
    </row>
    <row r="62" spans="1:4" x14ac:dyDescent="0.2">
      <c r="A62" s="2" t="s">
        <v>258</v>
      </c>
      <c r="B62" s="2" t="s">
        <v>259</v>
      </c>
      <c r="C62" s="2" t="s">
        <v>167</v>
      </c>
      <c r="D62" s="3" t="s">
        <v>19</v>
      </c>
    </row>
    <row r="63" spans="1:4" x14ac:dyDescent="0.2">
      <c r="A63" s="2" t="s">
        <v>260</v>
      </c>
      <c r="B63" s="2" t="s">
        <v>261</v>
      </c>
      <c r="C63" s="2" t="s">
        <v>188</v>
      </c>
      <c r="D63" s="3" t="s">
        <v>19</v>
      </c>
    </row>
    <row r="64" spans="1:4" x14ac:dyDescent="0.2">
      <c r="A64" s="2" t="s">
        <v>262</v>
      </c>
      <c r="B64" s="2" t="s">
        <v>263</v>
      </c>
      <c r="C64" s="2" t="s">
        <v>167</v>
      </c>
      <c r="D64" s="3" t="s">
        <v>19</v>
      </c>
    </row>
    <row r="65" spans="1:4" x14ac:dyDescent="0.2">
      <c r="A65" s="2" t="s">
        <v>264</v>
      </c>
      <c r="B65" s="2" t="s">
        <v>265</v>
      </c>
      <c r="C65" s="2" t="s">
        <v>188</v>
      </c>
      <c r="D65" s="3" t="s">
        <v>19</v>
      </c>
    </row>
    <row r="66" spans="1:4" x14ac:dyDescent="0.2">
      <c r="A66" s="2" t="s">
        <v>266</v>
      </c>
      <c r="B66" s="2" t="s">
        <v>267</v>
      </c>
      <c r="C66" s="2" t="s">
        <v>193</v>
      </c>
      <c r="D66" s="3" t="s">
        <v>17</v>
      </c>
    </row>
    <row r="67" spans="1:4" x14ac:dyDescent="0.2">
      <c r="A67" s="2" t="s">
        <v>268</v>
      </c>
      <c r="B67" s="2" t="s">
        <v>269</v>
      </c>
      <c r="C67" s="2" t="s">
        <v>137</v>
      </c>
      <c r="D67" s="3" t="s">
        <v>19</v>
      </c>
    </row>
    <row r="68" spans="1:4" x14ac:dyDescent="0.2">
      <c r="A68" s="2" t="s">
        <v>270</v>
      </c>
      <c r="B68" s="2" t="s">
        <v>17</v>
      </c>
      <c r="C68" s="2" t="s">
        <v>145</v>
      </c>
      <c r="D68" s="3" t="s">
        <v>17</v>
      </c>
    </row>
    <row r="69" spans="1:4" x14ac:dyDescent="0.2">
      <c r="A69" s="2" t="s">
        <v>271</v>
      </c>
      <c r="B69" s="2" t="s">
        <v>272</v>
      </c>
      <c r="C69" s="2" t="s">
        <v>154</v>
      </c>
      <c r="D69" s="3" t="s">
        <v>2</v>
      </c>
    </row>
    <row r="70" spans="1:4" x14ac:dyDescent="0.2">
      <c r="A70" s="2" t="s">
        <v>273</v>
      </c>
      <c r="B70" s="2" t="s">
        <v>274</v>
      </c>
      <c r="C70" s="2" t="s">
        <v>154</v>
      </c>
      <c r="D70" s="3" t="s">
        <v>19</v>
      </c>
    </row>
    <row r="71" spans="1:4" x14ac:dyDescent="0.2">
      <c r="A71" s="2" t="s">
        <v>275</v>
      </c>
      <c r="B71" s="2" t="s">
        <v>276</v>
      </c>
      <c r="C71" s="2" t="s">
        <v>134</v>
      </c>
      <c r="D71" s="3" t="s">
        <v>22</v>
      </c>
    </row>
    <row r="72" spans="1:4" x14ac:dyDescent="0.2">
      <c r="A72" s="2" t="s">
        <v>277</v>
      </c>
      <c r="B72" s="2" t="s">
        <v>2</v>
      </c>
      <c r="C72" s="2" t="s">
        <v>157</v>
      </c>
      <c r="D72" s="3" t="s">
        <v>2</v>
      </c>
    </row>
    <row r="73" spans="1:4" x14ac:dyDescent="0.2">
      <c r="A73" s="2" t="s">
        <v>278</v>
      </c>
      <c r="B73" s="2" t="s">
        <v>279</v>
      </c>
      <c r="C73" s="2" t="s">
        <v>193</v>
      </c>
      <c r="D73" s="3" t="s">
        <v>17</v>
      </c>
    </row>
    <row r="74" spans="1:4" x14ac:dyDescent="0.2">
      <c r="A74" s="2" t="s">
        <v>280</v>
      </c>
      <c r="B74" s="2" t="s">
        <v>281</v>
      </c>
      <c r="C74" s="2" t="s">
        <v>188</v>
      </c>
      <c r="D74" s="3" t="s">
        <v>19</v>
      </c>
    </row>
    <row r="75" spans="1:4" x14ac:dyDescent="0.2">
      <c r="A75" s="2" t="s">
        <v>282</v>
      </c>
      <c r="B75" s="2" t="s">
        <v>283</v>
      </c>
      <c r="C75" s="2" t="s">
        <v>139</v>
      </c>
      <c r="D75" s="3" t="s">
        <v>19</v>
      </c>
    </row>
    <row r="76" spans="1:4" x14ac:dyDescent="0.2">
      <c r="A76" s="2" t="s">
        <v>284</v>
      </c>
      <c r="B76" s="2" t="s">
        <v>285</v>
      </c>
      <c r="C76" s="2" t="s">
        <v>167</v>
      </c>
      <c r="D76" s="3" t="s">
        <v>19</v>
      </c>
    </row>
    <row r="77" spans="1:4" x14ac:dyDescent="0.2">
      <c r="A77" s="2" t="s">
        <v>286</v>
      </c>
      <c r="B77" s="2" t="s">
        <v>287</v>
      </c>
      <c r="C77" s="2" t="s">
        <v>137</v>
      </c>
      <c r="D77" s="3" t="s">
        <v>19</v>
      </c>
    </row>
    <row r="78" spans="1:4" x14ac:dyDescent="0.2">
      <c r="A78" s="2" t="s">
        <v>288</v>
      </c>
      <c r="B78" s="2" t="s">
        <v>2</v>
      </c>
      <c r="C78" s="2" t="s">
        <v>157</v>
      </c>
      <c r="D78" s="3" t="s">
        <v>2</v>
      </c>
    </row>
    <row r="79" spans="1:4" x14ac:dyDescent="0.2">
      <c r="A79" s="2" t="s">
        <v>289</v>
      </c>
      <c r="B79" s="2" t="s">
        <v>290</v>
      </c>
      <c r="C79" s="2" t="s">
        <v>145</v>
      </c>
      <c r="D79" s="3" t="s">
        <v>17</v>
      </c>
    </row>
    <row r="80" spans="1:4" x14ac:dyDescent="0.2">
      <c r="A80" s="2" t="s">
        <v>291</v>
      </c>
      <c r="B80" s="2" t="s">
        <v>292</v>
      </c>
      <c r="C80" s="2" t="s">
        <v>154</v>
      </c>
      <c r="D80" s="3" t="s">
        <v>19</v>
      </c>
    </row>
    <row r="81" spans="1:4" x14ac:dyDescent="0.2">
      <c r="A81" s="2" t="s">
        <v>293</v>
      </c>
      <c r="B81" s="2" t="s">
        <v>294</v>
      </c>
      <c r="C81" s="2" t="s">
        <v>134</v>
      </c>
      <c r="D81" s="3" t="s">
        <v>22</v>
      </c>
    </row>
    <row r="82" spans="1:4" x14ac:dyDescent="0.2">
      <c r="A82" s="2" t="s">
        <v>295</v>
      </c>
      <c r="B82" s="2" t="s">
        <v>296</v>
      </c>
      <c r="C82" s="2" t="s">
        <v>297</v>
      </c>
      <c r="D82" s="3" t="s">
        <v>19</v>
      </c>
    </row>
    <row r="83" spans="1:4" x14ac:dyDescent="0.2">
      <c r="A83" s="2" t="s">
        <v>298</v>
      </c>
      <c r="B83" s="2" t="s">
        <v>299</v>
      </c>
      <c r="C83" s="2" t="s">
        <v>134</v>
      </c>
      <c r="D83" s="3" t="s">
        <v>22</v>
      </c>
    </row>
    <row r="84" spans="1:4" x14ac:dyDescent="0.2">
      <c r="A84" s="2" t="s">
        <v>300</v>
      </c>
      <c r="B84" s="2" t="s">
        <v>5</v>
      </c>
      <c r="C84" s="2" t="s">
        <v>142</v>
      </c>
      <c r="D84" s="3" t="s">
        <v>5</v>
      </c>
    </row>
    <row r="85" spans="1:4" x14ac:dyDescent="0.2">
      <c r="A85" s="2" t="s">
        <v>301</v>
      </c>
      <c r="B85" s="2" t="s">
        <v>302</v>
      </c>
      <c r="C85" s="2" t="s">
        <v>154</v>
      </c>
      <c r="D85" s="3" t="s">
        <v>17</v>
      </c>
    </row>
    <row r="86" spans="1:4" x14ac:dyDescent="0.2">
      <c r="A86" s="2" t="s">
        <v>303</v>
      </c>
      <c r="B86" s="2" t="s">
        <v>304</v>
      </c>
      <c r="C86" s="2" t="s">
        <v>145</v>
      </c>
      <c r="D86" s="3" t="s">
        <v>17</v>
      </c>
    </row>
    <row r="87" spans="1:4" x14ac:dyDescent="0.2">
      <c r="A87" s="2" t="s">
        <v>305</v>
      </c>
      <c r="B87" s="2" t="s">
        <v>306</v>
      </c>
      <c r="C87" s="2" t="s">
        <v>154</v>
      </c>
      <c r="D87" s="3" t="s">
        <v>2</v>
      </c>
    </row>
    <row r="88" spans="1:4" x14ac:dyDescent="0.2">
      <c r="A88" s="2" t="s">
        <v>307</v>
      </c>
      <c r="B88" s="2" t="s">
        <v>308</v>
      </c>
      <c r="C88" s="2" t="s">
        <v>154</v>
      </c>
      <c r="D88" s="3" t="s">
        <v>2</v>
      </c>
    </row>
    <row r="89" spans="1:4" x14ac:dyDescent="0.2">
      <c r="A89" s="2" t="s">
        <v>309</v>
      </c>
      <c r="B89" s="2" t="s">
        <v>310</v>
      </c>
      <c r="C89" s="2" t="s">
        <v>157</v>
      </c>
      <c r="D89" s="3" t="s">
        <v>2</v>
      </c>
    </row>
    <row r="90" spans="1:4" x14ac:dyDescent="0.2">
      <c r="A90" s="2" t="s">
        <v>311</v>
      </c>
      <c r="B90" s="2" t="s">
        <v>312</v>
      </c>
      <c r="C90" s="2" t="s">
        <v>188</v>
      </c>
      <c r="D90" s="3" t="s">
        <v>19</v>
      </c>
    </row>
    <row r="91" spans="1:4" x14ac:dyDescent="0.2">
      <c r="A91" s="2" t="s">
        <v>313</v>
      </c>
      <c r="B91" s="2" t="s">
        <v>314</v>
      </c>
      <c r="C91" s="2" t="s">
        <v>167</v>
      </c>
      <c r="D91" s="3" t="s">
        <v>19</v>
      </c>
    </row>
    <row r="92" spans="1:4" x14ac:dyDescent="0.2">
      <c r="A92" s="2" t="s">
        <v>315</v>
      </c>
      <c r="B92" s="2" t="s">
        <v>2</v>
      </c>
      <c r="C92" s="2" t="s">
        <v>157</v>
      </c>
      <c r="D92" s="3" t="s">
        <v>2</v>
      </c>
    </row>
    <row r="93" spans="1:4" x14ac:dyDescent="0.2">
      <c r="A93" s="2" t="s">
        <v>316</v>
      </c>
      <c r="B93" s="2" t="s">
        <v>317</v>
      </c>
      <c r="C93" s="2" t="s">
        <v>137</v>
      </c>
      <c r="D93" s="3" t="s">
        <v>19</v>
      </c>
    </row>
    <row r="94" spans="1:4" x14ac:dyDescent="0.2">
      <c r="A94" s="2" t="s">
        <v>318</v>
      </c>
      <c r="B94" s="2" t="s">
        <v>319</v>
      </c>
      <c r="C94" s="2" t="s">
        <v>145</v>
      </c>
      <c r="D94" s="3" t="s">
        <v>17</v>
      </c>
    </row>
    <row r="95" spans="1:4" x14ac:dyDescent="0.2">
      <c r="A95" s="2" t="s">
        <v>320</v>
      </c>
      <c r="B95" s="2" t="s">
        <v>321</v>
      </c>
      <c r="C95" s="2" t="s">
        <v>154</v>
      </c>
      <c r="D95" s="3" t="s">
        <v>2</v>
      </c>
    </row>
    <row r="96" spans="1:4" x14ac:dyDescent="0.2">
      <c r="A96" s="2" t="s">
        <v>322</v>
      </c>
      <c r="B96" s="2" t="s">
        <v>323</v>
      </c>
      <c r="C96" s="2" t="s">
        <v>157</v>
      </c>
      <c r="D96" s="3" t="s">
        <v>2</v>
      </c>
    </row>
    <row r="97" spans="1:4" x14ac:dyDescent="0.2">
      <c r="A97" s="2" t="s">
        <v>324</v>
      </c>
      <c r="B97" s="2" t="s">
        <v>325</v>
      </c>
      <c r="C97" s="2" t="s">
        <v>142</v>
      </c>
      <c r="D97" s="3" t="s">
        <v>5</v>
      </c>
    </row>
    <row r="98" spans="1:4" x14ac:dyDescent="0.2">
      <c r="A98" s="2" t="s">
        <v>326</v>
      </c>
      <c r="B98" s="2" t="s">
        <v>327</v>
      </c>
      <c r="C98" s="2" t="s">
        <v>154</v>
      </c>
      <c r="D98" s="3" t="s">
        <v>5</v>
      </c>
    </row>
    <row r="99" spans="1:4" x14ac:dyDescent="0.2">
      <c r="A99" s="2" t="s">
        <v>328</v>
      </c>
      <c r="B99" s="2" t="s">
        <v>329</v>
      </c>
      <c r="C99" s="2" t="s">
        <v>142</v>
      </c>
      <c r="D99" s="3" t="s">
        <v>5</v>
      </c>
    </row>
    <row r="100" spans="1:4" x14ac:dyDescent="0.2">
      <c r="A100" s="2" t="s">
        <v>330</v>
      </c>
      <c r="B100" s="2" t="s">
        <v>331</v>
      </c>
      <c r="C100" s="2" t="s">
        <v>193</v>
      </c>
      <c r="D100" s="3" t="s">
        <v>17</v>
      </c>
    </row>
    <row r="101" spans="1:4" x14ac:dyDescent="0.2">
      <c r="A101" s="2" t="s">
        <v>332</v>
      </c>
      <c r="B101" s="2" t="s">
        <v>333</v>
      </c>
      <c r="C101" s="2" t="s">
        <v>137</v>
      </c>
      <c r="D101" s="3" t="s">
        <v>5</v>
      </c>
    </row>
    <row r="102" spans="1:4" x14ac:dyDescent="0.2">
      <c r="A102" s="2" t="s">
        <v>334</v>
      </c>
      <c r="B102" s="2" t="s">
        <v>335</v>
      </c>
      <c r="C102" s="2" t="s">
        <v>139</v>
      </c>
      <c r="D102" s="3" t="s">
        <v>17</v>
      </c>
    </row>
    <row r="103" spans="1:4" x14ac:dyDescent="0.2">
      <c r="A103" s="2" t="s">
        <v>336</v>
      </c>
      <c r="B103" s="2" t="s">
        <v>2</v>
      </c>
      <c r="C103" s="2" t="s">
        <v>157</v>
      </c>
      <c r="D103" s="3" t="s">
        <v>2</v>
      </c>
    </row>
    <row r="104" spans="1:4" x14ac:dyDescent="0.2">
      <c r="A104" s="2" t="s">
        <v>337</v>
      </c>
      <c r="B104" s="2" t="s">
        <v>338</v>
      </c>
      <c r="C104" s="2" t="s">
        <v>167</v>
      </c>
      <c r="D104" s="3" t="s">
        <v>19</v>
      </c>
    </row>
    <row r="105" spans="1:4" x14ac:dyDescent="0.2">
      <c r="A105" s="2" t="s">
        <v>339</v>
      </c>
      <c r="B105" s="2" t="s">
        <v>340</v>
      </c>
      <c r="C105" s="2" t="s">
        <v>142</v>
      </c>
      <c r="D105" s="3" t="s">
        <v>5</v>
      </c>
    </row>
    <row r="106" spans="1:4" x14ac:dyDescent="0.2">
      <c r="A106" s="2" t="s">
        <v>341</v>
      </c>
      <c r="B106" s="2" t="s">
        <v>342</v>
      </c>
      <c r="C106" s="2" t="s">
        <v>134</v>
      </c>
      <c r="D106" s="3" t="s">
        <v>22</v>
      </c>
    </row>
    <row r="107" spans="1:4" x14ac:dyDescent="0.2">
      <c r="A107" s="2" t="s">
        <v>343</v>
      </c>
      <c r="B107" s="2" t="s">
        <v>344</v>
      </c>
      <c r="C107" s="2" t="s">
        <v>139</v>
      </c>
      <c r="D107" s="3" t="s">
        <v>19</v>
      </c>
    </row>
    <row r="108" spans="1:4" x14ac:dyDescent="0.2">
      <c r="A108" s="2" t="s">
        <v>345</v>
      </c>
      <c r="B108" s="2" t="s">
        <v>346</v>
      </c>
      <c r="C108" s="2" t="s">
        <v>154</v>
      </c>
      <c r="D108" s="3" t="s">
        <v>5</v>
      </c>
    </row>
    <row r="109" spans="1:4" x14ac:dyDescent="0.2">
      <c r="A109" s="2" t="s">
        <v>347</v>
      </c>
      <c r="B109" s="2" t="s">
        <v>348</v>
      </c>
      <c r="C109" s="2" t="s">
        <v>142</v>
      </c>
      <c r="D109" s="3" t="s">
        <v>5</v>
      </c>
    </row>
    <row r="110" spans="1:4" x14ac:dyDescent="0.2">
      <c r="A110" s="2" t="s">
        <v>349</v>
      </c>
      <c r="B110" s="2" t="s">
        <v>350</v>
      </c>
      <c r="C110" s="2" t="s">
        <v>142</v>
      </c>
      <c r="D110" s="3" t="s">
        <v>5</v>
      </c>
    </row>
    <row r="111" spans="1:4" x14ac:dyDescent="0.2">
      <c r="A111" s="2" t="s">
        <v>351</v>
      </c>
      <c r="B111" s="2" t="s">
        <v>352</v>
      </c>
      <c r="C111" s="2" t="s">
        <v>193</v>
      </c>
      <c r="D111" s="3" t="s">
        <v>17</v>
      </c>
    </row>
    <row r="112" spans="1:4" x14ac:dyDescent="0.2">
      <c r="A112" s="2" t="s">
        <v>353</v>
      </c>
      <c r="B112" s="2" t="s">
        <v>354</v>
      </c>
      <c r="C112" s="2" t="s">
        <v>157</v>
      </c>
      <c r="D112" s="3" t="s">
        <v>2</v>
      </c>
    </row>
    <row r="113" spans="1:4" x14ac:dyDescent="0.2">
      <c r="A113" s="2" t="s">
        <v>355</v>
      </c>
      <c r="B113" s="2" t="s">
        <v>356</v>
      </c>
      <c r="C113" s="2" t="s">
        <v>157</v>
      </c>
      <c r="D113" s="3" t="s">
        <v>2</v>
      </c>
    </row>
    <row r="114" spans="1:4" x14ac:dyDescent="0.2">
      <c r="A114" s="2" t="s">
        <v>73</v>
      </c>
      <c r="B114" s="2" t="s">
        <v>2</v>
      </c>
      <c r="C114" s="2" t="s">
        <v>157</v>
      </c>
      <c r="D114" s="3" t="s">
        <v>2</v>
      </c>
    </row>
    <row r="115" spans="1:4" x14ac:dyDescent="0.2">
      <c r="A115" s="2" t="s">
        <v>357</v>
      </c>
      <c r="B115" s="2" t="s">
        <v>358</v>
      </c>
      <c r="C115" s="2" t="s">
        <v>145</v>
      </c>
      <c r="D115" s="3" t="s">
        <v>17</v>
      </c>
    </row>
    <row r="116" spans="1:4" x14ac:dyDescent="0.2">
      <c r="A116" s="2" t="s">
        <v>359</v>
      </c>
      <c r="B116" s="2" t="s">
        <v>2</v>
      </c>
      <c r="C116" s="2" t="s">
        <v>157</v>
      </c>
      <c r="D116" s="3" t="s">
        <v>2</v>
      </c>
    </row>
    <row r="117" spans="1:4" x14ac:dyDescent="0.2">
      <c r="A117" s="2" t="s">
        <v>360</v>
      </c>
      <c r="B117" s="2" t="s">
        <v>361</v>
      </c>
      <c r="C117" s="2" t="s">
        <v>157</v>
      </c>
      <c r="D117" s="3" t="s">
        <v>2</v>
      </c>
    </row>
    <row r="118" spans="1:4" x14ac:dyDescent="0.2">
      <c r="A118" s="2" t="s">
        <v>362</v>
      </c>
      <c r="B118" s="2" t="s">
        <v>363</v>
      </c>
      <c r="C118" s="2" t="s">
        <v>193</v>
      </c>
      <c r="D118" s="3" t="s">
        <v>17</v>
      </c>
    </row>
    <row r="119" spans="1:4" x14ac:dyDescent="0.2">
      <c r="A119" s="2" t="s">
        <v>364</v>
      </c>
      <c r="B119" s="2" t="s">
        <v>365</v>
      </c>
      <c r="C119" s="2" t="s">
        <v>145</v>
      </c>
      <c r="D119" s="3" t="s">
        <v>17</v>
      </c>
    </row>
    <row r="120" spans="1:4" x14ac:dyDescent="0.2">
      <c r="A120" s="2" t="s">
        <v>366</v>
      </c>
      <c r="B120" s="2" t="s">
        <v>367</v>
      </c>
      <c r="C120" s="2" t="s">
        <v>139</v>
      </c>
      <c r="D120" s="3" t="s">
        <v>19</v>
      </c>
    </row>
    <row r="121" spans="1:4" x14ac:dyDescent="0.2">
      <c r="A121" s="2" t="s">
        <v>368</v>
      </c>
      <c r="B121" s="2" t="s">
        <v>369</v>
      </c>
      <c r="C121" s="2" t="s">
        <v>139</v>
      </c>
      <c r="D121" s="3" t="s">
        <v>19</v>
      </c>
    </row>
    <row r="122" spans="1:4" x14ac:dyDescent="0.2">
      <c r="A122" s="2" t="s">
        <v>370</v>
      </c>
      <c r="B122" s="2" t="s">
        <v>371</v>
      </c>
      <c r="C122" s="2" t="s">
        <v>139</v>
      </c>
      <c r="D122" s="3" t="s">
        <v>19</v>
      </c>
    </row>
    <row r="123" spans="1:4" x14ac:dyDescent="0.2">
      <c r="A123" s="2" t="s">
        <v>372</v>
      </c>
      <c r="B123" s="2" t="s">
        <v>373</v>
      </c>
      <c r="C123" s="2" t="s">
        <v>193</v>
      </c>
      <c r="D123" s="3" t="s">
        <v>17</v>
      </c>
    </row>
    <row r="124" spans="1:4" x14ac:dyDescent="0.2">
      <c r="A124" s="2" t="s">
        <v>374</v>
      </c>
      <c r="B124" s="2" t="s">
        <v>375</v>
      </c>
      <c r="C124" s="2" t="s">
        <v>134</v>
      </c>
      <c r="D124" s="3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B5935C308980429A4D29B355BD2D07" ma:contentTypeVersion="13" ma:contentTypeDescription="Create a new document." ma:contentTypeScope="" ma:versionID="db87dc3cc4fe1401febf0f98a23e14c9">
  <xsd:schema xmlns:xsd="http://www.w3.org/2001/XMLSchema" xmlns:xs="http://www.w3.org/2001/XMLSchema" xmlns:p="http://schemas.microsoft.com/office/2006/metadata/properties" xmlns:ns2="252dc424-6d73-4be6-acde-d99124175e7e" xmlns:ns3="671949a0-8c4c-4ad2-a4ca-6e7761022e88" targetNamespace="http://schemas.microsoft.com/office/2006/metadata/properties" ma:root="true" ma:fieldsID="1426183b17c5f75e4f056a61f86ed57f" ns2:_="" ns3:_="">
    <xsd:import namespace="252dc424-6d73-4be6-acde-d99124175e7e"/>
    <xsd:import namespace="671949a0-8c4c-4ad2-a4ca-6e7761022e8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dc424-6d73-4be6-acde-d99124175e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49a0-8c4c-4ad2-a4ca-6e7761022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190A0-C828-4EE2-A985-F81E5D52B5FA}">
  <ds:schemaRefs>
    <ds:schemaRef ds:uri="http://purl.org/dc/elements/1.1/"/>
    <ds:schemaRef ds:uri="252dc424-6d73-4be6-acde-d99124175e7e"/>
    <ds:schemaRef ds:uri="http://schemas.microsoft.com/office/2006/documentManagement/types"/>
    <ds:schemaRef ds:uri="http://purl.org/dc/dcmitype/"/>
    <ds:schemaRef ds:uri="http://schemas.microsoft.com/office/infopath/2007/PartnerControls"/>
    <ds:schemaRef ds:uri="671949a0-8c4c-4ad2-a4ca-6e7761022e8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5F296E-3AC7-4A27-90E1-8DEEB0E058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947C21-2ED0-4DD1-ACDE-46544FFAE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2dc424-6d73-4be6-acde-d99124175e7e"/>
    <ds:schemaRef ds:uri="671949a0-8c4c-4ad2-a4ca-6e7761022e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Qs and Options </vt:lpstr>
      <vt:lpstr>Postcode 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Hendra</dc:creator>
  <cp:lastModifiedBy>Graham Hendra</cp:lastModifiedBy>
  <dcterms:created xsi:type="dcterms:W3CDTF">2021-01-27T15:57:41Z</dcterms:created>
  <dcterms:modified xsi:type="dcterms:W3CDTF">2022-02-24T15:44:48Z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0x010100C2B5935C308980429A4D29B355BD2D07</vt:lpwstr>
  </property>
</Properties>
</file>