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oneculina-my.sharepoint.com/personal/paul_birks_culina-group_com/Documents/Desktop/Pauls Private file Temporary for Project Wire update/Paul Stuff/"/>
    </mc:Choice>
  </mc:AlternateContent>
  <xr:revisionPtr revIDLastSave="1807" documentId="8_{F28AE79B-FAD6-4114-B9BE-ADF1D89C7C90}" xr6:coauthVersionLast="47" xr6:coauthVersionMax="47" xr10:uidLastSave="{34D17E9D-0353-48E9-825B-06A3A49ADB34}"/>
  <bookViews>
    <workbookView xWindow="28680" yWindow="-60" windowWidth="29040" windowHeight="15720" xr2:uid="{00000000-000D-0000-FFFF-FFFF00000000}"/>
  </bookViews>
  <sheets>
    <sheet name="Heat Loss Survey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O24" i="1"/>
  <c r="O20" i="1"/>
  <c r="O23" i="1"/>
  <c r="O22" i="1"/>
  <c r="O19" i="1"/>
  <c r="O18" i="1"/>
  <c r="O17" i="1"/>
  <c r="O16" i="1"/>
  <c r="N24" i="1"/>
  <c r="N23" i="1"/>
  <c r="N22" i="1"/>
  <c r="N21" i="1"/>
  <c r="N20" i="1"/>
  <c r="N19" i="1"/>
  <c r="N18" i="1"/>
  <c r="N17" i="1"/>
  <c r="N16" i="1"/>
  <c r="M23" i="1"/>
  <c r="M22" i="1"/>
  <c r="M20" i="1"/>
  <c r="M19" i="1"/>
  <c r="M18" i="1"/>
  <c r="M17" i="1"/>
  <c r="M16" i="1"/>
  <c r="M24" i="1"/>
  <c r="E17" i="1"/>
  <c r="E18" i="1"/>
  <c r="E19" i="1"/>
  <c r="E20" i="1"/>
  <c r="E21" i="1"/>
  <c r="E22" i="1"/>
  <c r="E23" i="1"/>
  <c r="E24" i="1"/>
  <c r="E16" i="1"/>
  <c r="C20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E12" i="2"/>
  <c r="AF12" i="2"/>
  <c r="AG12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E11" i="2"/>
  <c r="AF11" i="2"/>
  <c r="AG11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C7" i="2"/>
  <c r="D6" i="2"/>
  <c r="E6" i="2"/>
  <c r="N6" i="2"/>
  <c r="O6" i="2"/>
  <c r="P6" i="2"/>
  <c r="Q6" i="2"/>
  <c r="Z6" i="2"/>
  <c r="AA6" i="2"/>
  <c r="AB6" i="2"/>
  <c r="AC6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C9" i="2"/>
  <c r="D4" i="2"/>
  <c r="E4" i="2"/>
  <c r="F4" i="2"/>
  <c r="F6" i="2" s="1"/>
  <c r="G4" i="2"/>
  <c r="G6" i="2" s="1"/>
  <c r="H4" i="2"/>
  <c r="H6" i="2" s="1"/>
  <c r="I4" i="2"/>
  <c r="I6" i="2" s="1"/>
  <c r="J4" i="2"/>
  <c r="J6" i="2" s="1"/>
  <c r="K4" i="2"/>
  <c r="K6" i="2" s="1"/>
  <c r="L4" i="2"/>
  <c r="L6" i="2" s="1"/>
  <c r="M4" i="2"/>
  <c r="M6" i="2" s="1"/>
  <c r="N4" i="2"/>
  <c r="O4" i="2"/>
  <c r="P4" i="2"/>
  <c r="Q4" i="2"/>
  <c r="R4" i="2"/>
  <c r="R6" i="2" s="1"/>
  <c r="S4" i="2"/>
  <c r="S6" i="2" s="1"/>
  <c r="T4" i="2"/>
  <c r="T6" i="2" s="1"/>
  <c r="U4" i="2"/>
  <c r="U6" i="2" s="1"/>
  <c r="V4" i="2"/>
  <c r="V6" i="2" s="1"/>
  <c r="W4" i="2"/>
  <c r="W6" i="2" s="1"/>
  <c r="X4" i="2"/>
  <c r="X6" i="2" s="1"/>
  <c r="Y4" i="2"/>
  <c r="Y6" i="2" s="1"/>
  <c r="Z4" i="2"/>
  <c r="AA4" i="2"/>
  <c r="AB4" i="2"/>
  <c r="AC4" i="2"/>
  <c r="AD4" i="2"/>
  <c r="AD6" i="2" s="1"/>
  <c r="AE4" i="2"/>
  <c r="AE6" i="2" s="1"/>
  <c r="AF4" i="2"/>
  <c r="AF6" i="2" s="1"/>
  <c r="AG4" i="2"/>
  <c r="AG6" i="2" s="1"/>
  <c r="C4" i="2"/>
  <c r="C6" i="2" s="1"/>
  <c r="O21" i="1"/>
  <c r="P21" i="1"/>
  <c r="H21" i="1"/>
  <c r="F21" i="1"/>
  <c r="Q21" i="1" s="1"/>
  <c r="R21" i="1" l="1"/>
  <c r="P17" i="1"/>
  <c r="P18" i="1"/>
  <c r="P19" i="1"/>
  <c r="P20" i="1"/>
  <c r="P22" i="1"/>
  <c r="P23" i="1"/>
  <c r="P24" i="1"/>
  <c r="P16" i="1"/>
  <c r="H17" i="1"/>
  <c r="H18" i="1"/>
  <c r="H19" i="1"/>
  <c r="H20" i="1"/>
  <c r="H22" i="1"/>
  <c r="H23" i="1"/>
  <c r="H24" i="1"/>
  <c r="H16" i="1"/>
  <c r="F19" i="1"/>
  <c r="Q19" i="1" s="1"/>
  <c r="F17" i="1"/>
  <c r="Q17" i="1" s="1"/>
  <c r="F18" i="1"/>
  <c r="Q18" i="1" s="1"/>
  <c r="F20" i="1"/>
  <c r="Q20" i="1" s="1"/>
  <c r="F22" i="1"/>
  <c r="Q22" i="1" s="1"/>
  <c r="F23" i="1"/>
  <c r="Q23" i="1" s="1"/>
  <c r="F24" i="1"/>
  <c r="Q24" i="1" s="1"/>
  <c r="F16" i="1"/>
  <c r="Q16" i="1" s="1"/>
  <c r="R19" i="1" l="1"/>
  <c r="R20" i="1"/>
  <c r="R22" i="1"/>
  <c r="B33" i="1" s="1"/>
  <c r="R17" i="1"/>
  <c r="B30" i="1" s="1"/>
  <c r="R16" i="1"/>
  <c r="B29" i="1" s="1"/>
  <c r="R24" i="1"/>
  <c r="B35" i="1" s="1"/>
  <c r="R23" i="1"/>
  <c r="B34" i="1" s="1"/>
  <c r="R18" i="1"/>
  <c r="B31" i="1" s="1"/>
  <c r="P25" i="1"/>
  <c r="Q25" i="1"/>
  <c r="M25" i="1"/>
  <c r="N25" i="1"/>
  <c r="B32" i="1" l="1"/>
  <c r="B36" i="1" s="1"/>
  <c r="O25" i="1"/>
  <c r="Q26" i="1"/>
  <c r="C11" i="2" l="1"/>
  <c r="C10" i="2"/>
  <c r="C12" i="2"/>
</calcChain>
</file>

<file path=xl/sharedStrings.xml><?xml version="1.0" encoding="utf-8"?>
<sst xmlns="http://schemas.openxmlformats.org/spreadsheetml/2006/main" count="104" uniqueCount="97">
  <si>
    <t>Three Bedroom Bungalow Heat Loss Survey</t>
  </si>
  <si>
    <t>Building Information</t>
  </si>
  <si>
    <t>Property Type</t>
  </si>
  <si>
    <t>3 Bedroom Bungalow</t>
  </si>
  <si>
    <t>Loft Insulation</t>
  </si>
  <si>
    <t>300 mm</t>
  </si>
  <si>
    <t>Wall Construction</t>
  </si>
  <si>
    <t>Insulated Cavity Walls</t>
  </si>
  <si>
    <t>Floor Construction</t>
  </si>
  <si>
    <t>Solid Concrete Floor</t>
  </si>
  <si>
    <t>Windows and Doors</t>
  </si>
  <si>
    <t>Modern Double Glazing</t>
  </si>
  <si>
    <t>External Design Temperature (°C)</t>
  </si>
  <si>
    <t>Internal Design Temperature (°C)</t>
  </si>
  <si>
    <t>Room Data Entry</t>
  </si>
  <si>
    <t>Room</t>
  </si>
  <si>
    <t>Height m</t>
  </si>
  <si>
    <t>Volume m³</t>
  </si>
  <si>
    <t>Window Area m²</t>
  </si>
  <si>
    <t>Door Area m²</t>
  </si>
  <si>
    <t>Vent Rate ACH</t>
  </si>
  <si>
    <t>Indoor Temp °C</t>
  </si>
  <si>
    <t>Floor Heat loss</t>
  </si>
  <si>
    <t>Wall Heat loss</t>
  </si>
  <si>
    <t>Window and door heat loss</t>
  </si>
  <si>
    <t>Ceiling Heat loss</t>
  </si>
  <si>
    <t>Bedroom 1</t>
  </si>
  <si>
    <t>Bedroom 2</t>
  </si>
  <si>
    <t>Bedroom 3</t>
  </si>
  <si>
    <t>Hall</t>
  </si>
  <si>
    <t>Porch</t>
  </si>
  <si>
    <t>Bathroom</t>
  </si>
  <si>
    <t>Total Heat loss</t>
  </si>
  <si>
    <t>Living Area 1</t>
  </si>
  <si>
    <t>Total Output</t>
  </si>
  <si>
    <t>Room loss</t>
  </si>
  <si>
    <t xml:space="preserve"> </t>
  </si>
  <si>
    <t>Bedroom 1 (18)</t>
  </si>
  <si>
    <t>Bedroom 2 (18)</t>
  </si>
  <si>
    <t>Bedroom 3 (18)</t>
  </si>
  <si>
    <t>Bathroom (21)</t>
  </si>
  <si>
    <t>Living Area / Kitchen (21)</t>
  </si>
  <si>
    <t>Porch (15)</t>
  </si>
  <si>
    <t>ACH</t>
  </si>
  <si>
    <t>well insulated older property</t>
  </si>
  <si>
    <t>inner front door</t>
  </si>
  <si>
    <t>Current estimate radiator sizes</t>
  </si>
  <si>
    <t>T21 x 1400 x 600</t>
  </si>
  <si>
    <t>T21 x 600 x 600</t>
  </si>
  <si>
    <t>T21 x 1200 x 600</t>
  </si>
  <si>
    <t>Living area</t>
  </si>
  <si>
    <t xml:space="preserve"> 1200 x 500 towel rail</t>
  </si>
  <si>
    <t>Unheated corridor</t>
  </si>
  <si>
    <t>Dimension 2</t>
  </si>
  <si>
    <t>Dimension 1</t>
  </si>
  <si>
    <t>Ext Wall Area length</t>
  </si>
  <si>
    <t xml:space="preserve">External wall area </t>
  </si>
  <si>
    <t>Room heat loss</t>
  </si>
  <si>
    <t>Hall part 1 (18)</t>
  </si>
  <si>
    <t>Hall part 2 (18)_</t>
  </si>
  <si>
    <t>Hall cupboard</t>
  </si>
  <si>
    <t>0 .6</t>
  </si>
  <si>
    <t>T21 x 1600 x 600 T22 x 1600 x 600 T21 x 800 x 600</t>
  </si>
  <si>
    <t>As living room lead to conservatory reduce heat loss by approx 140w</t>
  </si>
  <si>
    <t>Air loss at 0.5 ACH</t>
  </si>
  <si>
    <t>Daily Electricity</t>
  </si>
  <si>
    <t>Gas to electric at 4.0 COP</t>
  </si>
  <si>
    <t>Assuming 0.3 an hour a night off peak</t>
  </si>
  <si>
    <t>Assuming  25% of gas off peak</t>
  </si>
  <si>
    <t>Total used</t>
  </si>
  <si>
    <t>January Solar</t>
  </si>
  <si>
    <t>Total  - Solar</t>
  </si>
  <si>
    <t>Total - solar - off peak home and heating</t>
  </si>
  <si>
    <t>upto 16kw of off peak gas</t>
  </si>
  <si>
    <t>removed less than zero</t>
  </si>
  <si>
    <t>Total off peak purchased</t>
  </si>
  <si>
    <t>Total peak purchased.</t>
  </si>
  <si>
    <t>car charging</t>
  </si>
  <si>
    <t>Total off peak cost</t>
  </si>
  <si>
    <t>Total peak cost</t>
  </si>
  <si>
    <t>Total standing charge</t>
  </si>
  <si>
    <t>inverter losses</t>
  </si>
  <si>
    <t>Grid handshake</t>
  </si>
  <si>
    <t>Total bill for January</t>
  </si>
  <si>
    <t>Actual gas/electric bill</t>
  </si>
  <si>
    <t>estiamte annual useage 2967.2</t>
  </si>
  <si>
    <t>estiamte annual bill</t>
  </si>
  <si>
    <t>Cost</t>
  </si>
  <si>
    <t>Estimate bill</t>
  </si>
  <si>
    <t>Etimate fuel consumption</t>
  </si>
  <si>
    <t>Estimate bill with solar and no fuel</t>
  </si>
  <si>
    <t>Area m2</t>
  </si>
  <si>
    <t>T21 x 600 x 600, T21 x 600 x 500</t>
  </si>
  <si>
    <t>MODIFIED THAT HALF THE WINDOWS HAVE AN  EXTERNAL TEMP OF 8 DEGREES. 8-3/2</t>
  </si>
  <si>
    <t>(TIMBER AND SINGLE PANE GLASS)</t>
  </si>
  <si>
    <t>T21 x 1000 x 600</t>
  </si>
  <si>
    <t>Havent got round to measurtng them all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</si>
</sst>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7.5"/>
      <color theme="1"/>
      <name val="Segoe UI"/>
      <family val="2"/>
    </font>
    <font>
      <b/>
      <sz val="18"/>
      <color theme="1"/>
      <name val="Segoe UI"/>
      <family val="2"/>
    </font>
    <font>
      <b/>
      <sz val="13.5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6" fontId="0" fillId="0" borderId="0" xfId="0" applyNumberForma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164" fontId="0" fillId="0" borderId="0" xfId="0" applyNumberFormat="1"/>
    <xf numFmtId="0" fontId="0" fillId="0" borderId="0" xfId="0" applyAlignment="1">
      <alignment horizontal="left"/>
    </xf>
    <xf numFmtId="164" fontId="6" fillId="0" borderId="2" xfId="0" applyNumberFormat="1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center" wrapText="1"/>
    </xf>
    <xf numFmtId="8" fontId="0" fillId="0" borderId="0" xfId="0" applyNumberFormat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3" borderId="3" xfId="0" applyFont="1" applyFill="1" applyBorder="1" applyAlignment="1">
      <alignment wrapText="1"/>
    </xf>
    <xf numFmtId="0" fontId="0" fillId="0" borderId="3" xfId="0" applyBorder="1"/>
    <xf numFmtId="0" fontId="3" fillId="4" borderId="3" xfId="0" applyFont="1" applyFill="1" applyBorder="1"/>
    <xf numFmtId="0" fontId="0" fillId="4" borderId="3" xfId="0" applyFill="1" applyBorder="1"/>
    <xf numFmtId="0" fontId="3" fillId="4" borderId="3" xfId="0" applyFont="1" applyFill="1" applyBorder="1" applyAlignment="1">
      <alignment horizontal="right"/>
    </xf>
    <xf numFmtId="0" fontId="5" fillId="4" borderId="3" xfId="0" applyFont="1" applyFill="1" applyBorder="1"/>
    <xf numFmtId="0" fontId="0" fillId="5" borderId="3" xfId="0" applyFill="1" applyBorder="1"/>
    <xf numFmtId="0" fontId="0" fillId="0" borderId="3" xfId="0" applyBorder="1" applyAlignment="1">
      <alignment wrapText="1"/>
    </xf>
    <xf numFmtId="0" fontId="0" fillId="6" borderId="3" xfId="0" applyFill="1" applyBorder="1" applyAlignment="1">
      <alignment horizontal="center" wrapText="1"/>
    </xf>
    <xf numFmtId="2" fontId="0" fillId="4" borderId="3" xfId="0" applyNumberFormat="1" applyFill="1" applyBorder="1"/>
    <xf numFmtId="1" fontId="6" fillId="0" borderId="0" xfId="0" applyNumberFormat="1" applyFont="1" applyAlignment="1">
      <alignment horizontal="left"/>
    </xf>
    <xf numFmtId="0" fontId="0" fillId="6" borderId="0" xfId="0" applyFill="1" applyAlignment="1">
      <alignment horizontal="center" wrapText="1"/>
    </xf>
    <xf numFmtId="2" fontId="0" fillId="4" borderId="0" xfId="0" applyNumberFormat="1" applyFill="1"/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6" fillId="0" borderId="0" xfId="0" applyNumberFormat="1" applyFont="1"/>
    <xf numFmtId="0" fontId="0" fillId="0" borderId="0" xfId="0" applyAlignment="1">
      <alignment horizontal="center" wrapText="1"/>
    </xf>
    <xf numFmtId="0" fontId="0" fillId="0" borderId="1" xfId="0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2" fontId="7" fillId="0" borderId="4" xfId="0" applyNumberFormat="1" applyFont="1" applyBorder="1" applyAlignment="1">
      <alignment vertical="center"/>
    </xf>
    <xf numFmtId="2" fontId="0" fillId="0" borderId="0" xfId="0" applyNumberFormat="1"/>
    <xf numFmtId="2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workbookViewId="0">
      <selection activeCell="E30" sqref="E30"/>
    </sheetView>
  </sheetViews>
  <sheetFormatPr defaultRowHeight="15" x14ac:dyDescent="0.25"/>
  <cols>
    <col min="1" max="13" width="20" customWidth="1"/>
    <col min="14" max="14" width="13.28515625" customWidth="1"/>
    <col min="15" max="15" width="14" customWidth="1"/>
    <col min="16" max="16" width="14.7109375" customWidth="1"/>
    <col min="17" max="17" width="11.42578125" customWidth="1"/>
  </cols>
  <sheetData>
    <row r="1" spans="1:18" ht="18.75" x14ac:dyDescent="0.3">
      <c r="A1" s="1" t="s">
        <v>0</v>
      </c>
    </row>
    <row r="3" spans="1:18" x14ac:dyDescent="0.25">
      <c r="A3" s="2" t="s">
        <v>1</v>
      </c>
    </row>
    <row r="4" spans="1:18" x14ac:dyDescent="0.25">
      <c r="A4" t="s">
        <v>2</v>
      </c>
      <c r="B4" s="3" t="s">
        <v>3</v>
      </c>
      <c r="C4" s="3"/>
    </row>
    <row r="5" spans="1:18" x14ac:dyDescent="0.25">
      <c r="A5" t="s">
        <v>4</v>
      </c>
      <c r="B5" s="3" t="s">
        <v>5</v>
      </c>
      <c r="C5" s="3"/>
      <c r="D5">
        <v>0.15</v>
      </c>
    </row>
    <row r="6" spans="1:18" x14ac:dyDescent="0.25">
      <c r="A6" t="s">
        <v>6</v>
      </c>
      <c r="B6" s="3" t="s">
        <v>7</v>
      </c>
      <c r="C6" s="3"/>
      <c r="D6">
        <v>0.5</v>
      </c>
    </row>
    <row r="7" spans="1:18" x14ac:dyDescent="0.25">
      <c r="A7" t="s">
        <v>8</v>
      </c>
      <c r="B7" s="3" t="s">
        <v>9</v>
      </c>
      <c r="C7" s="3"/>
      <c r="D7">
        <v>0.6</v>
      </c>
      <c r="F7" s="6"/>
    </row>
    <row r="8" spans="1:18" x14ac:dyDescent="0.25">
      <c r="A8" t="s">
        <v>10</v>
      </c>
      <c r="B8" s="3" t="s">
        <v>11</v>
      </c>
      <c r="C8" s="3"/>
      <c r="D8">
        <v>1.4</v>
      </c>
    </row>
    <row r="9" spans="1:18" x14ac:dyDescent="0.25">
      <c r="A9" t="s">
        <v>12</v>
      </c>
      <c r="B9" s="3"/>
      <c r="C9" s="3"/>
      <c r="D9">
        <v>-3</v>
      </c>
    </row>
    <row r="10" spans="1:18" x14ac:dyDescent="0.25">
      <c r="A10" t="s">
        <v>13</v>
      </c>
      <c r="B10" s="3"/>
      <c r="C10" s="3"/>
      <c r="D10" s="20">
        <v>21</v>
      </c>
      <c r="E10" s="20"/>
    </row>
    <row r="11" spans="1:18" x14ac:dyDescent="0.25">
      <c r="A11" t="s">
        <v>43</v>
      </c>
      <c r="B11" s="3" t="s">
        <v>44</v>
      </c>
      <c r="C11" s="3"/>
      <c r="D11" t="s">
        <v>61</v>
      </c>
    </row>
    <row r="12" spans="1:18" x14ac:dyDescent="0.25">
      <c r="A12" t="s">
        <v>45</v>
      </c>
      <c r="B12" s="3" t="s">
        <v>94</v>
      </c>
      <c r="D12">
        <v>3.5</v>
      </c>
    </row>
    <row r="13" spans="1:18" x14ac:dyDescent="0.25">
      <c r="A13" t="s">
        <v>52</v>
      </c>
    </row>
    <row r="14" spans="1:18" x14ac:dyDescent="0.25">
      <c r="A14" s="2" t="s">
        <v>14</v>
      </c>
    </row>
    <row r="15" spans="1:18" ht="30" x14ac:dyDescent="0.25">
      <c r="A15" s="27" t="s">
        <v>15</v>
      </c>
      <c r="B15" s="27" t="s">
        <v>54</v>
      </c>
      <c r="C15" s="27" t="s">
        <v>53</v>
      </c>
      <c r="D15" s="27" t="s">
        <v>16</v>
      </c>
      <c r="E15" s="27" t="s">
        <v>91</v>
      </c>
      <c r="F15" s="27" t="s">
        <v>17</v>
      </c>
      <c r="G15" s="27" t="s">
        <v>55</v>
      </c>
      <c r="H15" s="27" t="s">
        <v>56</v>
      </c>
      <c r="I15" s="27" t="s">
        <v>18</v>
      </c>
      <c r="J15" s="27" t="s">
        <v>19</v>
      </c>
      <c r="K15" s="27" t="s">
        <v>20</v>
      </c>
      <c r="L15" s="27" t="s">
        <v>21</v>
      </c>
      <c r="M15" s="27" t="s">
        <v>22</v>
      </c>
      <c r="N15" s="27" t="s">
        <v>23</v>
      </c>
      <c r="O15" s="27" t="s">
        <v>24</v>
      </c>
      <c r="P15" s="27" t="s">
        <v>25</v>
      </c>
      <c r="Q15" s="27" t="s">
        <v>64</v>
      </c>
      <c r="R15" s="27" t="s">
        <v>35</v>
      </c>
    </row>
    <row r="16" spans="1:18" x14ac:dyDescent="0.25">
      <c r="A16" s="28" t="s">
        <v>37</v>
      </c>
      <c r="B16" s="29">
        <v>4</v>
      </c>
      <c r="C16" s="29">
        <v>3.38</v>
      </c>
      <c r="D16" s="29">
        <v>2.4</v>
      </c>
      <c r="E16" s="29">
        <f>B16*C16</f>
        <v>13.52</v>
      </c>
      <c r="F16" s="30">
        <f>B16*C16*D16</f>
        <v>32.448</v>
      </c>
      <c r="G16" s="29">
        <v>7.38</v>
      </c>
      <c r="H16" s="29">
        <f>G16*D16</f>
        <v>17.712</v>
      </c>
      <c r="I16" s="29">
        <v>2.88</v>
      </c>
      <c r="J16" s="29">
        <v>0</v>
      </c>
      <c r="K16" s="31">
        <v>0.6</v>
      </c>
      <c r="L16" s="29">
        <v>21</v>
      </c>
      <c r="M16" s="32">
        <f t="shared" ref="M16:M23" si="0">B16*C16*(L16-9.6)*0.6</f>
        <v>92.476799999999983</v>
      </c>
      <c r="N16" s="32">
        <f t="shared" ref="N16:N24" si="1">(H16-I16-J16)*0.5*(L16+3)</f>
        <v>177.98400000000001</v>
      </c>
      <c r="O16" s="32">
        <f>(I16+J16)*1.2*(L16+3)</f>
        <v>82.944000000000003</v>
      </c>
      <c r="P16" s="32">
        <f>B16*C16*0.15*(L16+3)</f>
        <v>48.671999999999997</v>
      </c>
      <c r="Q16" s="32">
        <f t="shared" ref="Q16:Q24" si="2">0.33*F16*0.5*(L16+3)</f>
        <v>128.49408</v>
      </c>
      <c r="R16" s="33">
        <f>SUM(M16:Q16)</f>
        <v>530.57087999999999</v>
      </c>
    </row>
    <row r="17" spans="1:20" x14ac:dyDescent="0.25">
      <c r="A17" s="28" t="s">
        <v>38</v>
      </c>
      <c r="B17" s="29">
        <v>3.38</v>
      </c>
      <c r="C17" s="29">
        <v>3.06</v>
      </c>
      <c r="D17" s="29">
        <v>2.4</v>
      </c>
      <c r="E17" s="29">
        <f t="shared" ref="E17:E24" si="3">B17*C17</f>
        <v>10.3428</v>
      </c>
      <c r="F17" s="30">
        <f t="shared" ref="F17:F24" si="4">B17*C17*D17</f>
        <v>24.82272</v>
      </c>
      <c r="G17" s="29">
        <v>6.44</v>
      </c>
      <c r="H17" s="29">
        <f t="shared" ref="H17:H24" si="5">G17*D17</f>
        <v>15.456</v>
      </c>
      <c r="I17" s="29">
        <v>2.88</v>
      </c>
      <c r="J17" s="29">
        <v>0</v>
      </c>
      <c r="K17" s="31">
        <v>0.6</v>
      </c>
      <c r="L17" s="29">
        <v>21</v>
      </c>
      <c r="M17" s="32">
        <f t="shared" si="0"/>
        <v>70.744752000000005</v>
      </c>
      <c r="N17" s="32">
        <f t="shared" si="1"/>
        <v>150.91200000000001</v>
      </c>
      <c r="O17" s="32">
        <f>(I17+J17)*1.2*(L17+3)</f>
        <v>82.944000000000003</v>
      </c>
      <c r="P17" s="32">
        <f t="shared" ref="P17:P24" si="6">B17*C17*0.15*(L17+3)</f>
        <v>37.234079999999999</v>
      </c>
      <c r="Q17" s="32">
        <f t="shared" si="2"/>
        <v>98.297971200000006</v>
      </c>
      <c r="R17" s="33">
        <f t="shared" ref="R17:R24" si="7">SUM(M17:Q17)</f>
        <v>440.13280320000001</v>
      </c>
    </row>
    <row r="18" spans="1:20" x14ac:dyDescent="0.25">
      <c r="A18" s="28" t="s">
        <v>39</v>
      </c>
      <c r="B18" s="29">
        <v>3.38</v>
      </c>
      <c r="C18" s="29">
        <v>2.38</v>
      </c>
      <c r="D18" s="29">
        <v>2.4</v>
      </c>
      <c r="E18" s="29">
        <f t="shared" si="3"/>
        <v>8.0443999999999996</v>
      </c>
      <c r="F18" s="30">
        <f t="shared" si="4"/>
        <v>19.306559999999998</v>
      </c>
      <c r="G18" s="29">
        <v>2.38</v>
      </c>
      <c r="H18" s="29">
        <f t="shared" si="5"/>
        <v>5.7119999999999997</v>
      </c>
      <c r="I18" s="29">
        <v>1.44</v>
      </c>
      <c r="J18" s="29">
        <v>0</v>
      </c>
      <c r="K18" s="31">
        <v>0.6</v>
      </c>
      <c r="L18" s="29">
        <v>21</v>
      </c>
      <c r="M18" s="32">
        <f t="shared" si="0"/>
        <v>55.023695999999994</v>
      </c>
      <c r="N18" s="32">
        <f t="shared" si="1"/>
        <v>51.264000000000003</v>
      </c>
      <c r="O18" s="32">
        <f>(I18+J18)*1.2*(L18+3)</f>
        <v>41.472000000000001</v>
      </c>
      <c r="P18" s="32">
        <f t="shared" si="6"/>
        <v>28.959839999999996</v>
      </c>
      <c r="Q18" s="32">
        <f t="shared" si="2"/>
        <v>76.453977600000002</v>
      </c>
      <c r="R18" s="33">
        <f t="shared" si="7"/>
        <v>253.17351359999998</v>
      </c>
    </row>
    <row r="19" spans="1:20" x14ac:dyDescent="0.25">
      <c r="A19" s="28" t="s">
        <v>58</v>
      </c>
      <c r="B19" s="29">
        <v>3.38</v>
      </c>
      <c r="C19" s="29">
        <v>1</v>
      </c>
      <c r="D19" s="29">
        <v>2.4</v>
      </c>
      <c r="E19" s="29">
        <f t="shared" si="3"/>
        <v>3.38</v>
      </c>
      <c r="F19" s="30">
        <f t="shared" si="4"/>
        <v>8.1120000000000001</v>
      </c>
      <c r="G19" s="29">
        <v>0</v>
      </c>
      <c r="H19" s="29">
        <f t="shared" si="5"/>
        <v>0</v>
      </c>
      <c r="I19" s="29">
        <v>0</v>
      </c>
      <c r="J19" s="29">
        <v>0</v>
      </c>
      <c r="K19" s="31">
        <v>0.6</v>
      </c>
      <c r="L19" s="29">
        <v>21</v>
      </c>
      <c r="M19" s="32">
        <f t="shared" si="0"/>
        <v>23.119199999999996</v>
      </c>
      <c r="N19" s="32">
        <f t="shared" si="1"/>
        <v>0</v>
      </c>
      <c r="O19" s="32">
        <f>(I19+J19)*1.2*(L19+3)</f>
        <v>0</v>
      </c>
      <c r="P19" s="32">
        <f t="shared" si="6"/>
        <v>12.167999999999999</v>
      </c>
      <c r="Q19" s="32">
        <f t="shared" si="2"/>
        <v>32.123519999999999</v>
      </c>
      <c r="R19" s="33">
        <f t="shared" si="7"/>
        <v>67.410719999999998</v>
      </c>
    </row>
    <row r="20" spans="1:20" x14ac:dyDescent="0.25">
      <c r="A20" s="28" t="s">
        <v>59</v>
      </c>
      <c r="B20" s="29">
        <v>3.38</v>
      </c>
      <c r="C20" s="29">
        <v>1.31</v>
      </c>
      <c r="D20" s="29">
        <v>2.4</v>
      </c>
      <c r="E20" s="29">
        <f t="shared" si="3"/>
        <v>4.4278000000000004</v>
      </c>
      <c r="F20" s="30">
        <f t="shared" si="4"/>
        <v>10.626720000000001</v>
      </c>
      <c r="G20" s="29">
        <v>3.36</v>
      </c>
      <c r="H20" s="29">
        <f t="shared" si="5"/>
        <v>8.0640000000000001</v>
      </c>
      <c r="I20" s="29">
        <v>8.0640000000000001</v>
      </c>
      <c r="J20" s="29">
        <v>0</v>
      </c>
      <c r="K20" s="31">
        <v>0.6</v>
      </c>
      <c r="L20" s="29">
        <v>21</v>
      </c>
      <c r="M20" s="32">
        <f t="shared" si="0"/>
        <v>30.286152000000001</v>
      </c>
      <c r="N20" s="32">
        <f t="shared" si="1"/>
        <v>0</v>
      </c>
      <c r="O20" s="32">
        <f>(I20+J20)*3.5*(L20+3)</f>
        <v>677.37599999999998</v>
      </c>
      <c r="P20" s="32">
        <f t="shared" si="6"/>
        <v>15.940080000000002</v>
      </c>
      <c r="Q20" s="32">
        <f t="shared" si="2"/>
        <v>42.081811200000004</v>
      </c>
      <c r="R20" s="33">
        <f t="shared" si="7"/>
        <v>765.68404319999991</v>
      </c>
    </row>
    <row r="21" spans="1:20" x14ac:dyDescent="0.25">
      <c r="A21" s="28" t="s">
        <v>60</v>
      </c>
      <c r="B21" s="29">
        <v>0</v>
      </c>
      <c r="C21" s="29">
        <v>0</v>
      </c>
      <c r="D21" s="29">
        <v>2.4</v>
      </c>
      <c r="E21" s="29">
        <f t="shared" si="3"/>
        <v>0</v>
      </c>
      <c r="F21" s="30">
        <f t="shared" si="4"/>
        <v>0</v>
      </c>
      <c r="G21" s="29">
        <v>0</v>
      </c>
      <c r="H21" s="29">
        <f t="shared" si="5"/>
        <v>0</v>
      </c>
      <c r="I21" s="29">
        <v>0</v>
      </c>
      <c r="J21" s="29">
        <v>0</v>
      </c>
      <c r="K21" s="31">
        <v>0.6</v>
      </c>
      <c r="L21" s="29">
        <v>21</v>
      </c>
      <c r="M21" s="32">
        <f t="shared" si="0"/>
        <v>0</v>
      </c>
      <c r="N21" s="32">
        <f t="shared" si="1"/>
        <v>0</v>
      </c>
      <c r="O21" s="32">
        <f>(I21+J21)*3.5*(L21+3)</f>
        <v>0</v>
      </c>
      <c r="P21" s="32">
        <f t="shared" si="6"/>
        <v>0</v>
      </c>
      <c r="Q21" s="32">
        <f t="shared" si="2"/>
        <v>0</v>
      </c>
      <c r="R21" s="33">
        <f t="shared" si="7"/>
        <v>0</v>
      </c>
    </row>
    <row r="22" spans="1:20" x14ac:dyDescent="0.25">
      <c r="A22" s="28" t="s">
        <v>42</v>
      </c>
      <c r="B22" s="29">
        <v>2.4</v>
      </c>
      <c r="C22" s="29">
        <v>1.36</v>
      </c>
      <c r="D22" s="29">
        <v>2.4</v>
      </c>
      <c r="E22" s="29">
        <f t="shared" si="3"/>
        <v>3.2640000000000002</v>
      </c>
      <c r="F22" s="30">
        <f t="shared" si="4"/>
        <v>7.8336000000000006</v>
      </c>
      <c r="G22" s="29">
        <v>6.16</v>
      </c>
      <c r="H22" s="29">
        <f t="shared" si="5"/>
        <v>14.783999999999999</v>
      </c>
      <c r="I22" s="29">
        <v>7.3920000000000003</v>
      </c>
      <c r="J22" s="29">
        <v>2</v>
      </c>
      <c r="K22" s="31">
        <v>0.6</v>
      </c>
      <c r="L22" s="29">
        <v>15</v>
      </c>
      <c r="M22" s="32">
        <f t="shared" si="0"/>
        <v>10.575360000000002</v>
      </c>
      <c r="N22" s="32">
        <f t="shared" si="1"/>
        <v>48.527999999999984</v>
      </c>
      <c r="O22" s="32">
        <f>(I22+J22)*1.2*(L22+3)</f>
        <v>202.86719999999997</v>
      </c>
      <c r="P22" s="32">
        <f t="shared" si="6"/>
        <v>8.8128000000000011</v>
      </c>
      <c r="Q22" s="32">
        <f t="shared" si="2"/>
        <v>23.265792000000001</v>
      </c>
      <c r="R22" s="33">
        <f t="shared" si="7"/>
        <v>294.04915199999994</v>
      </c>
    </row>
    <row r="23" spans="1:20" x14ac:dyDescent="0.25">
      <c r="A23" s="28" t="s">
        <v>40</v>
      </c>
      <c r="B23" s="29">
        <v>2</v>
      </c>
      <c r="C23" s="29">
        <v>2.4300000000000002</v>
      </c>
      <c r="D23" s="29">
        <v>2.4</v>
      </c>
      <c r="E23" s="29">
        <f t="shared" si="3"/>
        <v>4.8600000000000003</v>
      </c>
      <c r="F23" s="30">
        <f t="shared" si="4"/>
        <v>11.664</v>
      </c>
      <c r="G23" s="29">
        <v>2</v>
      </c>
      <c r="H23" s="29">
        <f t="shared" si="5"/>
        <v>4.8</v>
      </c>
      <c r="I23" s="29">
        <v>0.36</v>
      </c>
      <c r="J23" s="29">
        <v>0</v>
      </c>
      <c r="K23" s="31">
        <v>0.6</v>
      </c>
      <c r="L23" s="29">
        <v>21</v>
      </c>
      <c r="M23" s="32">
        <f t="shared" si="0"/>
        <v>33.242400000000004</v>
      </c>
      <c r="N23" s="32">
        <f t="shared" si="1"/>
        <v>53.279999999999994</v>
      </c>
      <c r="O23" s="32">
        <f>(I23+J23)*1.2*(L23+3)</f>
        <v>10.368</v>
      </c>
      <c r="P23" s="32">
        <f t="shared" si="6"/>
        <v>17.495999999999999</v>
      </c>
      <c r="Q23" s="32">
        <f t="shared" si="2"/>
        <v>46.189440000000005</v>
      </c>
      <c r="R23" s="33">
        <f t="shared" si="7"/>
        <v>160.57584</v>
      </c>
    </row>
    <row r="24" spans="1:20" ht="30" x14ac:dyDescent="0.25">
      <c r="A24" s="34" t="s">
        <v>41</v>
      </c>
      <c r="B24" s="29">
        <v>5.62</v>
      </c>
      <c r="C24" s="29">
        <v>6.88</v>
      </c>
      <c r="D24" s="29">
        <v>2.4</v>
      </c>
      <c r="E24" s="29">
        <f t="shared" si="3"/>
        <v>38.665599999999998</v>
      </c>
      <c r="F24" s="30">
        <f t="shared" si="4"/>
        <v>92.797439999999995</v>
      </c>
      <c r="G24" s="29">
        <v>18.12</v>
      </c>
      <c r="H24" s="29">
        <f t="shared" si="5"/>
        <v>43.488</v>
      </c>
      <c r="I24" s="29">
        <v>11.52</v>
      </c>
      <c r="J24" s="29">
        <v>2</v>
      </c>
      <c r="K24" s="31">
        <v>0.6</v>
      </c>
      <c r="L24" s="29">
        <v>21</v>
      </c>
      <c r="M24" s="32">
        <f t="shared" ref="M24" si="8">B24*C24*(L24-8)*0.6</f>
        <v>301.59167999999994</v>
      </c>
      <c r="N24" s="32">
        <f t="shared" si="1"/>
        <v>359.61599999999999</v>
      </c>
      <c r="O24" s="32">
        <f>(I24+J24)*1.2*(L24-2.5)</f>
        <v>300.14400000000001</v>
      </c>
      <c r="P24" s="32">
        <f t="shared" si="6"/>
        <v>139.19615999999999</v>
      </c>
      <c r="Q24" s="32">
        <f t="shared" si="2"/>
        <v>367.47786239999999</v>
      </c>
      <c r="R24" s="33">
        <f t="shared" si="7"/>
        <v>1468.0257024</v>
      </c>
      <c r="T24" t="s">
        <v>93</v>
      </c>
    </row>
    <row r="25" spans="1:20" x14ac:dyDescent="0.25">
      <c r="A25" s="4"/>
      <c r="M25" s="4">
        <f>SUM(M16:M24)</f>
        <v>617.06003999999984</v>
      </c>
      <c r="N25" s="4">
        <f t="shared" ref="N25:Q25" si="9">SUM(N16:N24)</f>
        <v>841.58399999999995</v>
      </c>
      <c r="O25" s="4">
        <f t="shared" si="9"/>
        <v>1398.1152</v>
      </c>
      <c r="P25" s="4">
        <f t="shared" si="9"/>
        <v>308.47896000000003</v>
      </c>
      <c r="Q25" s="4">
        <f t="shared" si="9"/>
        <v>814.38445439999987</v>
      </c>
    </row>
    <row r="26" spans="1:20" x14ac:dyDescent="0.25">
      <c r="Q26" s="5">
        <f>SUM(R16:R24)</f>
        <v>3979.6226544000001</v>
      </c>
      <c r="R26" t="s">
        <v>32</v>
      </c>
    </row>
    <row r="27" spans="1:20" ht="19.5" thickBot="1" x14ac:dyDescent="0.35">
      <c r="G27" s="50"/>
      <c r="H27" s="50"/>
      <c r="I27" s="51"/>
      <c r="J27" s="51"/>
      <c r="K27" s="51"/>
    </row>
    <row r="28" spans="1:20" ht="45.75" thickBot="1" x14ac:dyDescent="0.3">
      <c r="A28" s="28" t="s">
        <v>36</v>
      </c>
      <c r="B28" s="35" t="s">
        <v>57</v>
      </c>
      <c r="C28" s="38"/>
      <c r="D28" s="21"/>
      <c r="E28" s="21"/>
      <c r="F28" s="21" t="s">
        <v>46</v>
      </c>
      <c r="G28" s="21" t="s">
        <v>96</v>
      </c>
      <c r="H28" s="21"/>
      <c r="I28" s="21"/>
      <c r="J28" s="21"/>
      <c r="K28" s="21"/>
      <c r="L28" s="21"/>
      <c r="M28" s="21"/>
      <c r="N28" s="21"/>
      <c r="O28" s="21"/>
      <c r="P28" s="24"/>
    </row>
    <row r="29" spans="1:20" ht="17.25" thickBot="1" x14ac:dyDescent="0.3">
      <c r="A29" s="28" t="s">
        <v>26</v>
      </c>
      <c r="B29" s="36">
        <f>R16</f>
        <v>530.57087999999999</v>
      </c>
      <c r="C29" s="36"/>
      <c r="D29" s="28" t="s">
        <v>26</v>
      </c>
      <c r="F29" s="21" t="s">
        <v>95</v>
      </c>
      <c r="G29" s="13"/>
      <c r="H29" s="52"/>
      <c r="I29" s="13"/>
      <c r="J29" s="13"/>
      <c r="K29" s="53"/>
      <c r="L29" s="47"/>
      <c r="M29" s="13"/>
      <c r="N29" s="48"/>
      <c r="O29" s="48"/>
      <c r="P29" s="25"/>
    </row>
    <row r="30" spans="1:20" ht="17.25" thickBot="1" x14ac:dyDescent="0.3">
      <c r="A30" s="28" t="s">
        <v>27</v>
      </c>
      <c r="B30" s="36">
        <f t="shared" ref="B30:B31" si="10">R17</f>
        <v>440.13280320000001</v>
      </c>
      <c r="C30" s="36"/>
      <c r="D30" s="28" t="s">
        <v>27</v>
      </c>
      <c r="F30" s="21" t="s">
        <v>47</v>
      </c>
      <c r="G30" s="13"/>
      <c r="H30" s="54"/>
      <c r="I30" s="55"/>
      <c r="J30" s="13"/>
      <c r="K30" s="53"/>
      <c r="L30" s="47"/>
      <c r="M30" s="13"/>
      <c r="N30" s="48"/>
      <c r="O30" s="48"/>
      <c r="P30" s="25"/>
    </row>
    <row r="31" spans="1:20" ht="30.75" thickBot="1" x14ac:dyDescent="0.3">
      <c r="A31" s="28" t="s">
        <v>28</v>
      </c>
      <c r="B31" s="36">
        <f t="shared" si="10"/>
        <v>253.17351359999998</v>
      </c>
      <c r="C31" s="36"/>
      <c r="D31" s="28" t="s">
        <v>28</v>
      </c>
      <c r="F31" s="21" t="s">
        <v>92</v>
      </c>
      <c r="G31" s="13"/>
      <c r="H31" s="54"/>
      <c r="I31" s="13"/>
      <c r="J31" s="13"/>
      <c r="K31" s="53"/>
      <c r="L31" s="47"/>
      <c r="M31" s="13"/>
      <c r="N31" s="48"/>
      <c r="O31" s="48"/>
      <c r="P31" s="25"/>
    </row>
    <row r="32" spans="1:20" ht="17.25" thickBot="1" x14ac:dyDescent="0.3">
      <c r="A32" s="28" t="s">
        <v>29</v>
      </c>
      <c r="B32" s="36">
        <f>R19+R20</f>
        <v>833.09476319999987</v>
      </c>
      <c r="C32" s="36"/>
      <c r="D32" s="28" t="s">
        <v>29</v>
      </c>
      <c r="F32" s="21" t="s">
        <v>49</v>
      </c>
      <c r="G32" s="13"/>
      <c r="H32" s="54"/>
      <c r="I32" s="25"/>
      <c r="J32" s="13"/>
      <c r="K32" s="53"/>
      <c r="L32" s="47"/>
      <c r="M32" s="13"/>
      <c r="N32" s="48"/>
      <c r="O32" s="48"/>
      <c r="P32" s="25"/>
    </row>
    <row r="33" spans="1:16" ht="17.25" thickBot="1" x14ac:dyDescent="0.3">
      <c r="A33" s="28" t="s">
        <v>30</v>
      </c>
      <c r="B33" s="36">
        <f>R22</f>
        <v>294.04915199999994</v>
      </c>
      <c r="C33" s="36"/>
      <c r="D33" s="28" t="s">
        <v>30</v>
      </c>
      <c r="F33" s="21" t="s">
        <v>48</v>
      </c>
      <c r="G33" s="13"/>
      <c r="H33" s="54"/>
      <c r="I33" s="13"/>
      <c r="J33" s="13"/>
      <c r="K33" s="53"/>
      <c r="L33" s="47"/>
      <c r="M33" s="13"/>
      <c r="N33" s="48"/>
      <c r="O33" s="48"/>
      <c r="P33" s="25"/>
    </row>
    <row r="34" spans="1:16" ht="17.25" thickBot="1" x14ac:dyDescent="0.3">
      <c r="A34" s="28" t="s">
        <v>31</v>
      </c>
      <c r="B34" s="36">
        <f>R23</f>
        <v>160.57584</v>
      </c>
      <c r="C34" s="36"/>
      <c r="D34" s="28" t="s">
        <v>31</v>
      </c>
      <c r="F34" s="21" t="s">
        <v>51</v>
      </c>
      <c r="G34" s="13"/>
      <c r="H34" s="54"/>
      <c r="I34" s="13"/>
      <c r="J34" s="13"/>
      <c r="K34" s="53"/>
      <c r="L34" s="49"/>
      <c r="M34" s="13"/>
      <c r="N34" s="48"/>
      <c r="O34" s="48"/>
      <c r="P34" s="25"/>
    </row>
    <row r="35" spans="1:16" ht="45.75" thickBot="1" x14ac:dyDescent="0.3">
      <c r="A35" s="28" t="s">
        <v>33</v>
      </c>
      <c r="B35" s="36">
        <f>R24</f>
        <v>1468.0257024</v>
      </c>
      <c r="C35" s="39"/>
      <c r="D35" s="37" t="s">
        <v>50</v>
      </c>
      <c r="E35" s="37"/>
      <c r="F35" s="21" t="s">
        <v>62</v>
      </c>
      <c r="G35" s="13"/>
      <c r="H35" s="54"/>
      <c r="I35" s="13"/>
      <c r="J35" s="41"/>
      <c r="K35" s="53"/>
      <c r="L35" s="44"/>
      <c r="M35" s="41"/>
      <c r="N35" s="48"/>
      <c r="O35" s="48"/>
      <c r="P35" s="25"/>
    </row>
    <row r="36" spans="1:16" ht="16.5" x14ac:dyDescent="0.25">
      <c r="A36" s="28" t="s">
        <v>34</v>
      </c>
      <c r="B36" s="36">
        <f>SUM(B29:B35)</f>
        <v>3979.6226544000001</v>
      </c>
      <c r="C36" s="39"/>
      <c r="D36" s="37"/>
      <c r="E36" s="37"/>
      <c r="F36" s="28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6.5" x14ac:dyDescent="0.25">
      <c r="D37" s="37"/>
      <c r="E37" s="37"/>
      <c r="F37" s="23"/>
      <c r="G37" s="13"/>
      <c r="H37" s="13"/>
      <c r="I37" s="13"/>
      <c r="J37" s="21"/>
    </row>
    <row r="38" spans="1:16" ht="16.5" x14ac:dyDescent="0.25">
      <c r="A38" s="7"/>
      <c r="B38" s="8"/>
      <c r="C38" s="8"/>
      <c r="D38" s="37"/>
      <c r="E38" s="37"/>
      <c r="F38" s="21"/>
      <c r="G38" s="41"/>
    </row>
    <row r="39" spans="1:16" ht="60" x14ac:dyDescent="0.25">
      <c r="A39" s="7" t="s">
        <v>63</v>
      </c>
      <c r="B39" s="8"/>
      <c r="C39" s="8"/>
    </row>
    <row r="40" spans="1:16" x14ac:dyDescent="0.25">
      <c r="B40" s="8"/>
      <c r="C40" s="8"/>
    </row>
    <row r="41" spans="1:16" x14ac:dyDescent="0.25">
      <c r="B41" s="8"/>
      <c r="C41" s="8"/>
    </row>
    <row r="43" spans="1:16" x14ac:dyDescent="0.25">
      <c r="A43" s="10"/>
    </row>
    <row r="44" spans="1:16" x14ac:dyDescent="0.25">
      <c r="A44" s="9"/>
    </row>
    <row r="45" spans="1:16" ht="26.25" x14ac:dyDescent="0.25">
      <c r="A45" s="11"/>
    </row>
    <row r="46" spans="1:16" x14ac:dyDescent="0.25">
      <c r="A46" s="9"/>
    </row>
    <row r="47" spans="1:16" ht="21" x14ac:dyDescent="0.25">
      <c r="A47" s="12"/>
      <c r="F47" s="12"/>
    </row>
    <row r="48" spans="1:16" ht="17.25" thickBot="1" x14ac:dyDescent="0.3">
      <c r="A48" s="13"/>
      <c r="F48" s="13"/>
    </row>
    <row r="49" spans="1:8" ht="17.25" thickBot="1" x14ac:dyDescent="0.3">
      <c r="A49" s="24"/>
      <c r="B49" s="24"/>
      <c r="C49" s="40"/>
      <c r="F49" s="24"/>
      <c r="G49" s="24"/>
      <c r="H49" s="40"/>
    </row>
    <row r="50" spans="1:8" ht="17.25" thickBot="1" x14ac:dyDescent="0.3">
      <c r="A50" s="25"/>
      <c r="B50" s="25"/>
      <c r="C50" s="41"/>
      <c r="F50" s="25"/>
      <c r="G50" s="25"/>
      <c r="H50" s="41"/>
    </row>
    <row r="51" spans="1:8" ht="17.25" thickBot="1" x14ac:dyDescent="0.3">
      <c r="A51" s="25"/>
      <c r="B51" s="25"/>
      <c r="C51" s="41"/>
      <c r="F51" s="25"/>
      <c r="G51" s="25"/>
      <c r="H51" s="41"/>
    </row>
    <row r="52" spans="1:8" ht="17.25" thickBot="1" x14ac:dyDescent="0.3">
      <c r="A52" s="25"/>
      <c r="B52" s="25"/>
      <c r="C52" s="41"/>
      <c r="F52" s="24"/>
      <c r="G52" s="26"/>
      <c r="H52" s="42"/>
    </row>
    <row r="53" spans="1:8" ht="17.25" thickBot="1" x14ac:dyDescent="0.3">
      <c r="A53" s="24"/>
      <c r="B53" s="26"/>
      <c r="C53" s="42"/>
      <c r="F53" s="24"/>
      <c r="G53" s="26"/>
      <c r="H53" s="42"/>
    </row>
    <row r="54" spans="1:8" x14ac:dyDescent="0.25">
      <c r="A54" s="9"/>
    </row>
    <row r="55" spans="1:8" ht="16.5" x14ac:dyDescent="0.25">
      <c r="A55" s="14"/>
      <c r="F55" s="14"/>
    </row>
    <row r="58" spans="1:8" ht="26.25" x14ac:dyDescent="0.25">
      <c r="A58" s="11"/>
    </row>
    <row r="59" spans="1:8" x14ac:dyDescent="0.25">
      <c r="A59" s="9"/>
    </row>
    <row r="60" spans="1:8" ht="21" x14ac:dyDescent="0.25">
      <c r="A60" s="12"/>
      <c r="B60" s="18"/>
      <c r="C60" s="18"/>
    </row>
    <row r="61" spans="1:8" x14ac:dyDescent="0.25">
      <c r="A61" s="9"/>
    </row>
    <row r="62" spans="1:8" ht="16.5" x14ac:dyDescent="0.25">
      <c r="A62" s="13"/>
      <c r="D62" s="17"/>
      <c r="E62" s="17"/>
    </row>
    <row r="63" spans="1:8" x14ac:dyDescent="0.25">
      <c r="A63" s="15"/>
      <c r="D63" s="17"/>
      <c r="E63" s="17"/>
    </row>
    <row r="64" spans="1:8" ht="16.5" x14ac:dyDescent="0.25">
      <c r="A64" s="16"/>
      <c r="D64" s="17"/>
      <c r="E64" s="17"/>
    </row>
    <row r="65" spans="1:5" ht="16.5" x14ac:dyDescent="0.25">
      <c r="A65" s="16"/>
      <c r="D65" s="17"/>
      <c r="E65" s="17"/>
    </row>
    <row r="66" spans="1:5" ht="16.5" x14ac:dyDescent="0.25">
      <c r="A66" s="16"/>
      <c r="D66" s="17"/>
      <c r="E66" s="17"/>
    </row>
    <row r="67" spans="1:5" ht="16.5" x14ac:dyDescent="0.25">
      <c r="A67" s="16"/>
      <c r="D67" s="17"/>
      <c r="E67" s="17"/>
    </row>
    <row r="68" spans="1:5" ht="16.5" x14ac:dyDescent="0.25">
      <c r="A68" s="16"/>
      <c r="D68" s="17"/>
      <c r="E68" s="17"/>
    </row>
    <row r="69" spans="1:5" ht="16.5" x14ac:dyDescent="0.25">
      <c r="A69" s="16"/>
      <c r="D69" s="17"/>
      <c r="E69" s="17"/>
    </row>
    <row r="70" spans="1:5" ht="16.5" x14ac:dyDescent="0.25">
      <c r="A70" s="14"/>
      <c r="D70" s="19"/>
      <c r="E70" s="46"/>
    </row>
    <row r="71" spans="1:5" x14ac:dyDescent="0.25">
      <c r="D71" s="17"/>
      <c r="E71" s="17"/>
    </row>
    <row r="72" spans="1:5" x14ac:dyDescent="0.25">
      <c r="D72" s="17"/>
      <c r="E72" s="17"/>
    </row>
    <row r="73" spans="1:5" x14ac:dyDescent="0.25">
      <c r="D73" s="17"/>
      <c r="E73" s="17"/>
    </row>
    <row r="74" spans="1:5" x14ac:dyDescent="0.25">
      <c r="D74" s="17"/>
      <c r="E74" s="17"/>
    </row>
  </sheetData>
  <conditionalFormatting sqref="L29:L35">
    <cfRule type="colorScale" priority="4">
      <colorScale>
        <cfvo type="formula" val="&quot;&lt;0&quot;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D9646-C730-4F03-B3EE-91211F4DD24B}">
  <dimension ref="A2:AI24"/>
  <sheetViews>
    <sheetView workbookViewId="0">
      <selection activeCell="P9" sqref="P9"/>
    </sheetView>
  </sheetViews>
  <sheetFormatPr defaultRowHeight="15" x14ac:dyDescent="0.25"/>
  <cols>
    <col min="1" max="1" width="16.85546875" customWidth="1"/>
  </cols>
  <sheetData>
    <row r="2" spans="1:35" x14ac:dyDescent="0.25">
      <c r="A2" s="44" t="s">
        <v>65</v>
      </c>
      <c r="C2">
        <v>12</v>
      </c>
      <c r="D2">
        <v>14</v>
      </c>
      <c r="E2">
        <v>15</v>
      </c>
      <c r="F2">
        <v>10</v>
      </c>
      <c r="G2">
        <v>11</v>
      </c>
      <c r="H2">
        <v>9</v>
      </c>
      <c r="I2">
        <v>12</v>
      </c>
      <c r="J2">
        <v>8</v>
      </c>
      <c r="K2">
        <v>12</v>
      </c>
      <c r="L2">
        <v>12</v>
      </c>
      <c r="M2">
        <v>10</v>
      </c>
      <c r="N2">
        <v>9</v>
      </c>
      <c r="O2">
        <v>13</v>
      </c>
      <c r="P2">
        <v>5</v>
      </c>
      <c r="Q2">
        <v>15</v>
      </c>
      <c r="R2">
        <v>12</v>
      </c>
      <c r="S2">
        <v>26</v>
      </c>
      <c r="T2">
        <v>20</v>
      </c>
      <c r="U2">
        <v>21</v>
      </c>
      <c r="V2">
        <v>32</v>
      </c>
      <c r="W2">
        <v>19</v>
      </c>
      <c r="X2">
        <v>18</v>
      </c>
      <c r="Y2">
        <v>11</v>
      </c>
      <c r="Z2">
        <v>11</v>
      </c>
      <c r="AA2">
        <v>13</v>
      </c>
      <c r="AB2">
        <v>8</v>
      </c>
      <c r="AC2">
        <v>11</v>
      </c>
      <c r="AD2">
        <v>11</v>
      </c>
      <c r="AE2">
        <v>11</v>
      </c>
      <c r="AF2">
        <v>9</v>
      </c>
      <c r="AG2">
        <v>8</v>
      </c>
    </row>
    <row r="3" spans="1:35" ht="30" x14ac:dyDescent="0.25">
      <c r="A3" s="44" t="s">
        <v>66</v>
      </c>
      <c r="C3">
        <v>2.2000000000000002</v>
      </c>
      <c r="D3">
        <v>3</v>
      </c>
      <c r="E3">
        <v>18.7</v>
      </c>
      <c r="F3">
        <v>11.8</v>
      </c>
      <c r="G3">
        <v>10.88</v>
      </c>
      <c r="H3">
        <v>10.88</v>
      </c>
      <c r="I3">
        <v>11.47</v>
      </c>
      <c r="J3">
        <v>8.52</v>
      </c>
      <c r="K3">
        <v>10</v>
      </c>
      <c r="L3">
        <v>13.24</v>
      </c>
      <c r="M3">
        <v>15.58</v>
      </c>
      <c r="N3">
        <v>10.88</v>
      </c>
      <c r="O3">
        <v>13.52</v>
      </c>
      <c r="P3">
        <v>10</v>
      </c>
      <c r="Q3">
        <v>12.94</v>
      </c>
      <c r="R3">
        <v>16.18</v>
      </c>
      <c r="S3">
        <v>10</v>
      </c>
      <c r="T3">
        <v>10</v>
      </c>
      <c r="U3">
        <v>10</v>
      </c>
      <c r="V3">
        <v>12.94</v>
      </c>
      <c r="W3">
        <v>17.350000000000001</v>
      </c>
      <c r="X3">
        <v>16.760000000000002</v>
      </c>
      <c r="Y3">
        <v>14.55</v>
      </c>
      <c r="Z3">
        <v>9.4</v>
      </c>
      <c r="AA3">
        <v>13.65</v>
      </c>
      <c r="AB3">
        <v>4.6500000000000004</v>
      </c>
      <c r="AC3">
        <v>10.35</v>
      </c>
      <c r="AD3">
        <v>8</v>
      </c>
      <c r="AE3">
        <v>11.91</v>
      </c>
      <c r="AF3">
        <v>12.6</v>
      </c>
      <c r="AG3">
        <v>12.94</v>
      </c>
    </row>
    <row r="4" spans="1:35" x14ac:dyDescent="0.25">
      <c r="A4" s="45" t="s">
        <v>69</v>
      </c>
      <c r="C4" s="43">
        <f>SUM(C2:C3)</f>
        <v>14.2</v>
      </c>
      <c r="D4" s="43">
        <f t="shared" ref="D4:AG4" si="0">SUM(D2:D3)</f>
        <v>17</v>
      </c>
      <c r="E4" s="43">
        <f t="shared" si="0"/>
        <v>33.700000000000003</v>
      </c>
      <c r="F4" s="43">
        <f t="shared" si="0"/>
        <v>21.8</v>
      </c>
      <c r="G4" s="43">
        <f t="shared" si="0"/>
        <v>21.880000000000003</v>
      </c>
      <c r="H4" s="43">
        <f t="shared" si="0"/>
        <v>19.880000000000003</v>
      </c>
      <c r="I4" s="43">
        <f t="shared" si="0"/>
        <v>23.47</v>
      </c>
      <c r="J4" s="43">
        <f t="shared" si="0"/>
        <v>16.52</v>
      </c>
      <c r="K4" s="43">
        <f t="shared" si="0"/>
        <v>22</v>
      </c>
      <c r="L4" s="43">
        <f t="shared" si="0"/>
        <v>25.240000000000002</v>
      </c>
      <c r="M4" s="43">
        <f t="shared" si="0"/>
        <v>25.58</v>
      </c>
      <c r="N4" s="43">
        <f t="shared" si="0"/>
        <v>19.880000000000003</v>
      </c>
      <c r="O4" s="43">
        <f t="shared" si="0"/>
        <v>26.52</v>
      </c>
      <c r="P4" s="43">
        <f t="shared" si="0"/>
        <v>15</v>
      </c>
      <c r="Q4" s="43">
        <f t="shared" si="0"/>
        <v>27.939999999999998</v>
      </c>
      <c r="R4" s="43">
        <f t="shared" si="0"/>
        <v>28.18</v>
      </c>
      <c r="S4" s="43">
        <f t="shared" si="0"/>
        <v>36</v>
      </c>
      <c r="T4" s="43">
        <f t="shared" si="0"/>
        <v>30</v>
      </c>
      <c r="U4" s="43">
        <f t="shared" si="0"/>
        <v>31</v>
      </c>
      <c r="V4" s="43">
        <f t="shared" si="0"/>
        <v>44.94</v>
      </c>
      <c r="W4" s="43">
        <f t="shared" si="0"/>
        <v>36.35</v>
      </c>
      <c r="X4" s="43">
        <f t="shared" si="0"/>
        <v>34.760000000000005</v>
      </c>
      <c r="Y4" s="43">
        <f t="shared" si="0"/>
        <v>25.55</v>
      </c>
      <c r="Z4" s="43">
        <f t="shared" si="0"/>
        <v>20.399999999999999</v>
      </c>
      <c r="AA4" s="43">
        <f t="shared" si="0"/>
        <v>26.65</v>
      </c>
      <c r="AB4" s="43">
        <f t="shared" si="0"/>
        <v>12.65</v>
      </c>
      <c r="AC4" s="43">
        <f t="shared" si="0"/>
        <v>21.35</v>
      </c>
      <c r="AD4" s="43">
        <f t="shared" si="0"/>
        <v>19</v>
      </c>
      <c r="AE4" s="43">
        <f t="shared" si="0"/>
        <v>22.91</v>
      </c>
      <c r="AF4" s="43">
        <f t="shared" si="0"/>
        <v>21.6</v>
      </c>
      <c r="AG4" s="43">
        <f t="shared" si="0"/>
        <v>20.939999999999998</v>
      </c>
    </row>
    <row r="5" spans="1:35" x14ac:dyDescent="0.25">
      <c r="A5" s="44" t="s">
        <v>70</v>
      </c>
      <c r="C5">
        <v>5.48</v>
      </c>
      <c r="D5">
        <v>13.39</v>
      </c>
      <c r="E5">
        <v>13.34</v>
      </c>
      <c r="F5">
        <v>13.49</v>
      </c>
      <c r="G5">
        <v>15.11</v>
      </c>
      <c r="H5">
        <v>1.1499999999999999</v>
      </c>
      <c r="I5">
        <v>15.31</v>
      </c>
      <c r="J5">
        <v>2.92</v>
      </c>
      <c r="K5">
        <v>2.37</v>
      </c>
      <c r="L5">
        <v>8.18</v>
      </c>
      <c r="M5">
        <v>0.64</v>
      </c>
      <c r="N5">
        <v>7.86</v>
      </c>
      <c r="O5">
        <v>4.3499999999999996</v>
      </c>
      <c r="P5">
        <v>2.93</v>
      </c>
      <c r="Q5">
        <v>12.7</v>
      </c>
      <c r="R5">
        <v>12.2</v>
      </c>
      <c r="S5">
        <v>10.119999999999999</v>
      </c>
      <c r="T5">
        <v>1.1000000000000001</v>
      </c>
      <c r="U5">
        <v>13.22</v>
      </c>
      <c r="V5">
        <v>5.15</v>
      </c>
      <c r="W5">
        <v>3.1</v>
      </c>
      <c r="X5">
        <v>0.81</v>
      </c>
      <c r="Y5">
        <v>2.96</v>
      </c>
      <c r="Z5">
        <v>3.11</v>
      </c>
      <c r="AA5">
        <v>1.67</v>
      </c>
      <c r="AB5">
        <v>2.06</v>
      </c>
      <c r="AC5">
        <v>0.71</v>
      </c>
      <c r="AD5">
        <v>19.809999999999999</v>
      </c>
      <c r="AE5">
        <v>8.1999999999999993</v>
      </c>
      <c r="AF5">
        <v>3.75</v>
      </c>
      <c r="AG5">
        <v>3.53</v>
      </c>
    </row>
    <row r="6" spans="1:35" x14ac:dyDescent="0.25">
      <c r="A6" s="44" t="s">
        <v>71</v>
      </c>
      <c r="C6">
        <f>C4-C5</f>
        <v>8.7199999999999989</v>
      </c>
      <c r="D6">
        <f t="shared" ref="D6:AG6" si="1">D4-D5</f>
        <v>3.6099999999999994</v>
      </c>
      <c r="E6">
        <f t="shared" si="1"/>
        <v>20.360000000000003</v>
      </c>
      <c r="F6">
        <f t="shared" si="1"/>
        <v>8.31</v>
      </c>
      <c r="G6">
        <f t="shared" si="1"/>
        <v>6.7700000000000031</v>
      </c>
      <c r="H6">
        <f t="shared" si="1"/>
        <v>18.730000000000004</v>
      </c>
      <c r="I6">
        <f t="shared" si="1"/>
        <v>8.1599999999999984</v>
      </c>
      <c r="J6">
        <f t="shared" si="1"/>
        <v>13.6</v>
      </c>
      <c r="K6">
        <f t="shared" si="1"/>
        <v>19.63</v>
      </c>
      <c r="L6">
        <f t="shared" si="1"/>
        <v>17.060000000000002</v>
      </c>
      <c r="M6">
        <f t="shared" si="1"/>
        <v>24.939999999999998</v>
      </c>
      <c r="N6">
        <f t="shared" si="1"/>
        <v>12.020000000000003</v>
      </c>
      <c r="O6">
        <f t="shared" si="1"/>
        <v>22.17</v>
      </c>
      <c r="P6">
        <f t="shared" si="1"/>
        <v>12.07</v>
      </c>
      <c r="Q6">
        <f t="shared" si="1"/>
        <v>15.239999999999998</v>
      </c>
      <c r="R6">
        <f t="shared" si="1"/>
        <v>15.98</v>
      </c>
      <c r="S6">
        <f t="shared" si="1"/>
        <v>25.880000000000003</v>
      </c>
      <c r="T6">
        <f t="shared" si="1"/>
        <v>28.9</v>
      </c>
      <c r="U6">
        <f t="shared" si="1"/>
        <v>17.78</v>
      </c>
      <c r="V6">
        <f t="shared" si="1"/>
        <v>39.79</v>
      </c>
      <c r="W6">
        <f t="shared" si="1"/>
        <v>33.25</v>
      </c>
      <c r="X6">
        <f t="shared" si="1"/>
        <v>33.950000000000003</v>
      </c>
      <c r="Y6">
        <f t="shared" si="1"/>
        <v>22.59</v>
      </c>
      <c r="Z6">
        <f t="shared" si="1"/>
        <v>17.29</v>
      </c>
      <c r="AA6">
        <f t="shared" si="1"/>
        <v>24.979999999999997</v>
      </c>
      <c r="AB6">
        <f t="shared" si="1"/>
        <v>10.59</v>
      </c>
      <c r="AC6">
        <f t="shared" si="1"/>
        <v>20.64</v>
      </c>
      <c r="AD6">
        <f t="shared" si="1"/>
        <v>-0.80999999999999872</v>
      </c>
      <c r="AE6">
        <f t="shared" si="1"/>
        <v>14.71</v>
      </c>
      <c r="AF6">
        <f t="shared" si="1"/>
        <v>17.850000000000001</v>
      </c>
      <c r="AG6">
        <f t="shared" si="1"/>
        <v>17.409999999999997</v>
      </c>
    </row>
    <row r="7" spans="1:35" ht="45" x14ac:dyDescent="0.25">
      <c r="A7" s="44" t="s">
        <v>72</v>
      </c>
      <c r="C7">
        <f>C6-C8-C9</f>
        <v>6.3699999999999992</v>
      </c>
      <c r="D7">
        <f t="shared" ref="D7:AG7" si="2">D6-D8-D9</f>
        <v>1.0599999999999994</v>
      </c>
      <c r="E7">
        <f t="shared" si="2"/>
        <v>13.885000000000002</v>
      </c>
      <c r="F7">
        <f t="shared" si="2"/>
        <v>3.5600000000000005</v>
      </c>
      <c r="G7">
        <f t="shared" si="2"/>
        <v>2.2500000000000031</v>
      </c>
      <c r="H7">
        <f t="shared" si="2"/>
        <v>14.210000000000003</v>
      </c>
      <c r="I7">
        <f t="shared" si="2"/>
        <v>3.4924999999999984</v>
      </c>
      <c r="J7">
        <f t="shared" si="2"/>
        <v>9.6699999999999982</v>
      </c>
      <c r="K7">
        <f t="shared" si="2"/>
        <v>15.329999999999998</v>
      </c>
      <c r="L7">
        <f t="shared" si="2"/>
        <v>11.950000000000001</v>
      </c>
      <c r="M7">
        <f t="shared" si="2"/>
        <v>19.244999999999997</v>
      </c>
      <c r="N7">
        <f t="shared" si="2"/>
        <v>7.5000000000000018</v>
      </c>
      <c r="O7">
        <f t="shared" si="2"/>
        <v>16.990000000000002</v>
      </c>
      <c r="P7">
        <f t="shared" si="2"/>
        <v>7.77</v>
      </c>
      <c r="Q7">
        <f t="shared" si="2"/>
        <v>10.204999999999998</v>
      </c>
      <c r="R7">
        <f t="shared" si="2"/>
        <v>10.135</v>
      </c>
      <c r="S7">
        <f t="shared" si="2"/>
        <v>21.580000000000002</v>
      </c>
      <c r="T7">
        <f t="shared" si="2"/>
        <v>24.599999999999998</v>
      </c>
      <c r="U7">
        <f t="shared" si="2"/>
        <v>13.48</v>
      </c>
      <c r="V7">
        <f t="shared" si="2"/>
        <v>34.755000000000003</v>
      </c>
      <c r="W7">
        <f t="shared" si="2"/>
        <v>27.112499999999997</v>
      </c>
      <c r="X7">
        <f t="shared" si="2"/>
        <v>27.960000000000004</v>
      </c>
      <c r="Y7">
        <f t="shared" si="2"/>
        <v>17.1525</v>
      </c>
      <c r="Z7">
        <f t="shared" si="2"/>
        <v>13.139999999999999</v>
      </c>
      <c r="AA7">
        <f t="shared" si="2"/>
        <v>19.767499999999995</v>
      </c>
      <c r="AB7">
        <f t="shared" si="2"/>
        <v>7.6274999999999995</v>
      </c>
      <c r="AC7">
        <f t="shared" si="2"/>
        <v>16.252500000000001</v>
      </c>
      <c r="AD7">
        <f t="shared" si="2"/>
        <v>-4.6099999999999985</v>
      </c>
      <c r="AE7">
        <f t="shared" si="2"/>
        <v>9.932500000000001</v>
      </c>
      <c r="AF7">
        <f t="shared" si="2"/>
        <v>12.9</v>
      </c>
      <c r="AG7">
        <f t="shared" si="2"/>
        <v>12.374999999999996</v>
      </c>
    </row>
    <row r="8" spans="1:35" ht="45" x14ac:dyDescent="0.25">
      <c r="A8" s="44" t="s">
        <v>67</v>
      </c>
      <c r="C8">
        <v>1.8</v>
      </c>
      <c r="D8">
        <v>1.8</v>
      </c>
      <c r="E8">
        <v>1.8</v>
      </c>
      <c r="F8">
        <v>1.8</v>
      </c>
      <c r="G8">
        <v>1.8</v>
      </c>
      <c r="H8">
        <v>1.8</v>
      </c>
      <c r="I8">
        <v>1.8</v>
      </c>
      <c r="J8">
        <v>1.8</v>
      </c>
      <c r="K8">
        <v>1.8</v>
      </c>
      <c r="L8">
        <v>1.8</v>
      </c>
      <c r="M8">
        <v>1.8</v>
      </c>
      <c r="N8">
        <v>1.8</v>
      </c>
      <c r="O8">
        <v>1.8</v>
      </c>
      <c r="P8">
        <v>1.8</v>
      </c>
      <c r="Q8">
        <v>1.8</v>
      </c>
      <c r="R8">
        <v>1.8</v>
      </c>
      <c r="S8">
        <v>1.8</v>
      </c>
      <c r="T8">
        <v>1.8</v>
      </c>
      <c r="U8">
        <v>1.8</v>
      </c>
      <c r="V8">
        <v>1.8</v>
      </c>
      <c r="W8">
        <v>1.8</v>
      </c>
      <c r="X8">
        <v>1.8</v>
      </c>
      <c r="Y8">
        <v>1.8</v>
      </c>
      <c r="Z8">
        <v>1.8</v>
      </c>
      <c r="AA8">
        <v>1.8</v>
      </c>
      <c r="AB8">
        <v>1.8</v>
      </c>
      <c r="AC8">
        <v>1.8</v>
      </c>
      <c r="AD8">
        <v>1.8</v>
      </c>
      <c r="AE8">
        <v>1.8</v>
      </c>
      <c r="AF8">
        <v>1.8</v>
      </c>
      <c r="AG8">
        <v>1.8</v>
      </c>
    </row>
    <row r="9" spans="1:35" ht="30" x14ac:dyDescent="0.25">
      <c r="A9" s="44" t="s">
        <v>68</v>
      </c>
      <c r="C9">
        <f t="shared" ref="C9:AG9" si="3">C3*0.25</f>
        <v>0.55000000000000004</v>
      </c>
      <c r="D9">
        <f t="shared" si="3"/>
        <v>0.75</v>
      </c>
      <c r="E9">
        <f t="shared" si="3"/>
        <v>4.6749999999999998</v>
      </c>
      <c r="F9">
        <f t="shared" si="3"/>
        <v>2.95</v>
      </c>
      <c r="G9">
        <f t="shared" si="3"/>
        <v>2.72</v>
      </c>
      <c r="H9">
        <f t="shared" si="3"/>
        <v>2.72</v>
      </c>
      <c r="I9">
        <f t="shared" si="3"/>
        <v>2.8675000000000002</v>
      </c>
      <c r="J9">
        <f t="shared" si="3"/>
        <v>2.13</v>
      </c>
      <c r="K9">
        <f t="shared" si="3"/>
        <v>2.5</v>
      </c>
      <c r="L9">
        <f t="shared" si="3"/>
        <v>3.31</v>
      </c>
      <c r="M9">
        <f t="shared" si="3"/>
        <v>3.895</v>
      </c>
      <c r="N9">
        <f t="shared" si="3"/>
        <v>2.72</v>
      </c>
      <c r="O9">
        <f t="shared" si="3"/>
        <v>3.38</v>
      </c>
      <c r="P9">
        <f t="shared" si="3"/>
        <v>2.5</v>
      </c>
      <c r="Q9">
        <f t="shared" si="3"/>
        <v>3.2349999999999999</v>
      </c>
      <c r="R9">
        <f t="shared" si="3"/>
        <v>4.0449999999999999</v>
      </c>
      <c r="S9">
        <f t="shared" si="3"/>
        <v>2.5</v>
      </c>
      <c r="T9">
        <f t="shared" si="3"/>
        <v>2.5</v>
      </c>
      <c r="U9">
        <f t="shared" si="3"/>
        <v>2.5</v>
      </c>
      <c r="V9">
        <f t="shared" si="3"/>
        <v>3.2349999999999999</v>
      </c>
      <c r="W9">
        <f t="shared" si="3"/>
        <v>4.3375000000000004</v>
      </c>
      <c r="X9">
        <f t="shared" si="3"/>
        <v>4.1900000000000004</v>
      </c>
      <c r="Y9">
        <f t="shared" si="3"/>
        <v>3.6375000000000002</v>
      </c>
      <c r="Z9">
        <f t="shared" si="3"/>
        <v>2.35</v>
      </c>
      <c r="AA9">
        <f t="shared" si="3"/>
        <v>3.4125000000000001</v>
      </c>
      <c r="AB9">
        <f t="shared" si="3"/>
        <v>1.1625000000000001</v>
      </c>
      <c r="AC9">
        <f t="shared" si="3"/>
        <v>2.5874999999999999</v>
      </c>
      <c r="AD9">
        <f t="shared" si="3"/>
        <v>2</v>
      </c>
      <c r="AE9">
        <f t="shared" si="3"/>
        <v>2.9775</v>
      </c>
      <c r="AF9">
        <f t="shared" si="3"/>
        <v>3.15</v>
      </c>
      <c r="AG9">
        <f t="shared" si="3"/>
        <v>3.2349999999999999</v>
      </c>
    </row>
    <row r="10" spans="1:35" ht="45" customHeight="1" x14ac:dyDescent="0.25">
      <c r="A10" s="44" t="s">
        <v>73</v>
      </c>
      <c r="C10" s="13">
        <f ca="1">IF(OR(C10&lt;0,C10&gt;16),0,C10)</f>
        <v>0</v>
      </c>
      <c r="D10">
        <f t="shared" ref="D10:AG10" si="4">16-D7</f>
        <v>14.940000000000001</v>
      </c>
      <c r="E10">
        <f t="shared" si="4"/>
        <v>2.1149999999999984</v>
      </c>
      <c r="F10">
        <f t="shared" si="4"/>
        <v>12.44</v>
      </c>
      <c r="G10">
        <f t="shared" si="4"/>
        <v>13.749999999999996</v>
      </c>
      <c r="H10">
        <f t="shared" si="4"/>
        <v>1.7899999999999974</v>
      </c>
      <c r="I10">
        <f t="shared" si="4"/>
        <v>12.507500000000002</v>
      </c>
      <c r="J10">
        <f t="shared" si="4"/>
        <v>6.3300000000000018</v>
      </c>
      <c r="K10">
        <f t="shared" si="4"/>
        <v>0.67000000000000171</v>
      </c>
      <c r="L10">
        <f t="shared" si="4"/>
        <v>4.0499999999999989</v>
      </c>
      <c r="M10">
        <f t="shared" si="4"/>
        <v>-3.2449999999999974</v>
      </c>
      <c r="N10">
        <f t="shared" si="4"/>
        <v>8.4999999999999982</v>
      </c>
      <c r="O10">
        <f t="shared" si="4"/>
        <v>-0.99000000000000199</v>
      </c>
      <c r="P10">
        <f t="shared" si="4"/>
        <v>8.23</v>
      </c>
      <c r="Q10">
        <f t="shared" si="4"/>
        <v>5.7950000000000017</v>
      </c>
      <c r="R10">
        <f t="shared" si="4"/>
        <v>5.8650000000000002</v>
      </c>
      <c r="S10">
        <f t="shared" si="4"/>
        <v>-5.5800000000000018</v>
      </c>
      <c r="T10">
        <f t="shared" si="4"/>
        <v>-8.5999999999999979</v>
      </c>
      <c r="U10">
        <f t="shared" si="4"/>
        <v>2.5199999999999996</v>
      </c>
      <c r="V10">
        <f t="shared" si="4"/>
        <v>-18.755000000000003</v>
      </c>
      <c r="W10">
        <f t="shared" si="4"/>
        <v>-11.112499999999997</v>
      </c>
      <c r="X10">
        <f t="shared" si="4"/>
        <v>-11.960000000000004</v>
      </c>
      <c r="Y10">
        <f t="shared" si="4"/>
        <v>-1.1524999999999999</v>
      </c>
      <c r="Z10">
        <f t="shared" si="4"/>
        <v>2.8600000000000012</v>
      </c>
      <c r="AA10">
        <f t="shared" si="4"/>
        <v>-3.7674999999999947</v>
      </c>
      <c r="AB10">
        <f t="shared" si="4"/>
        <v>8.3725000000000005</v>
      </c>
      <c r="AC10">
        <f t="shared" si="4"/>
        <v>-0.25250000000000128</v>
      </c>
      <c r="AD10">
        <f t="shared" si="4"/>
        <v>20.61</v>
      </c>
      <c r="AE10">
        <f t="shared" si="4"/>
        <v>6.067499999999999</v>
      </c>
      <c r="AF10">
        <f t="shared" si="4"/>
        <v>3.0999999999999996</v>
      </c>
      <c r="AG10">
        <f t="shared" si="4"/>
        <v>3.6250000000000036</v>
      </c>
    </row>
    <row r="11" spans="1:35" ht="30" x14ac:dyDescent="0.25">
      <c r="A11" s="44" t="s">
        <v>74</v>
      </c>
      <c r="C11" s="13">
        <f ca="1">IF(OR(C10&lt;0,C10&gt;16),0,C10)</f>
        <v>0</v>
      </c>
      <c r="D11" s="13">
        <f t="shared" ref="D11:AG11" si="5">IF(OR(D10&lt;0,D10&gt;16),0,D10)</f>
        <v>14.940000000000001</v>
      </c>
      <c r="E11" s="13">
        <f t="shared" si="5"/>
        <v>2.1149999999999984</v>
      </c>
      <c r="F11" s="13">
        <f t="shared" si="5"/>
        <v>12.44</v>
      </c>
      <c r="G11" s="13">
        <f t="shared" si="5"/>
        <v>13.749999999999996</v>
      </c>
      <c r="H11" s="13">
        <f t="shared" si="5"/>
        <v>1.7899999999999974</v>
      </c>
      <c r="I11" s="13">
        <f t="shared" si="5"/>
        <v>12.507500000000002</v>
      </c>
      <c r="J11" s="13">
        <f t="shared" si="5"/>
        <v>6.3300000000000018</v>
      </c>
      <c r="K11" s="13">
        <f t="shared" si="5"/>
        <v>0.67000000000000171</v>
      </c>
      <c r="L11" s="13">
        <f t="shared" si="5"/>
        <v>4.0499999999999989</v>
      </c>
      <c r="M11" s="13">
        <f t="shared" si="5"/>
        <v>0</v>
      </c>
      <c r="N11" s="13">
        <f t="shared" si="5"/>
        <v>8.4999999999999982</v>
      </c>
      <c r="O11" s="13">
        <f t="shared" si="5"/>
        <v>0</v>
      </c>
      <c r="P11" s="13">
        <f t="shared" si="5"/>
        <v>8.23</v>
      </c>
      <c r="Q11" s="13">
        <f t="shared" si="5"/>
        <v>5.7950000000000017</v>
      </c>
      <c r="R11" s="13">
        <f t="shared" si="5"/>
        <v>5.8650000000000002</v>
      </c>
      <c r="S11" s="13">
        <f t="shared" si="5"/>
        <v>0</v>
      </c>
      <c r="T11" s="13">
        <f t="shared" si="5"/>
        <v>0</v>
      </c>
      <c r="U11" s="13">
        <f t="shared" si="5"/>
        <v>2.5199999999999996</v>
      </c>
      <c r="V11" s="13">
        <f t="shared" si="5"/>
        <v>0</v>
      </c>
      <c r="W11" s="13">
        <f t="shared" si="5"/>
        <v>0</v>
      </c>
      <c r="X11" s="13">
        <f t="shared" si="5"/>
        <v>0</v>
      </c>
      <c r="Y11" s="13">
        <f t="shared" si="5"/>
        <v>0</v>
      </c>
      <c r="Z11" s="13">
        <f t="shared" si="5"/>
        <v>2.8600000000000012</v>
      </c>
      <c r="AA11" s="13">
        <f t="shared" si="5"/>
        <v>0</v>
      </c>
      <c r="AB11" s="13">
        <f t="shared" si="5"/>
        <v>8.3725000000000005</v>
      </c>
      <c r="AC11" s="13">
        <f t="shared" si="5"/>
        <v>0</v>
      </c>
      <c r="AD11" s="13">
        <v>16</v>
      </c>
      <c r="AE11" s="13">
        <f t="shared" si="5"/>
        <v>6.067499999999999</v>
      </c>
      <c r="AF11" s="13">
        <f t="shared" si="5"/>
        <v>3.0999999999999996</v>
      </c>
      <c r="AG11" s="13">
        <f t="shared" si="5"/>
        <v>3.6250000000000036</v>
      </c>
      <c r="AH11" s="13">
        <v>139.53</v>
      </c>
      <c r="AI11" t="s">
        <v>75</v>
      </c>
    </row>
    <row r="12" spans="1:35" ht="16.5" x14ac:dyDescent="0.25">
      <c r="A12" s="44"/>
      <c r="C12" s="13">
        <f ca="1">IF(C10&gt;16,C10,0)</f>
        <v>0</v>
      </c>
      <c r="D12" s="13">
        <f t="shared" ref="D12:AG12" si="6">IF(D10&gt;16,D10,0)</f>
        <v>0</v>
      </c>
      <c r="E12" s="13">
        <f t="shared" si="6"/>
        <v>0</v>
      </c>
      <c r="F12" s="13">
        <f t="shared" si="6"/>
        <v>0</v>
      </c>
      <c r="G12" s="13">
        <f t="shared" si="6"/>
        <v>0</v>
      </c>
      <c r="H12" s="13">
        <f t="shared" si="6"/>
        <v>0</v>
      </c>
      <c r="I12" s="13">
        <f t="shared" si="6"/>
        <v>0</v>
      </c>
      <c r="J12" s="13">
        <f t="shared" si="6"/>
        <v>0</v>
      </c>
      <c r="K12" s="13">
        <f t="shared" si="6"/>
        <v>0</v>
      </c>
      <c r="L12" s="13">
        <f t="shared" si="6"/>
        <v>0</v>
      </c>
      <c r="M12" s="13">
        <f t="shared" si="6"/>
        <v>0</v>
      </c>
      <c r="N12" s="13">
        <f t="shared" si="6"/>
        <v>0</v>
      </c>
      <c r="O12" s="13">
        <f t="shared" si="6"/>
        <v>0</v>
      </c>
      <c r="P12" s="13">
        <f t="shared" si="6"/>
        <v>0</v>
      </c>
      <c r="Q12" s="13">
        <f t="shared" si="6"/>
        <v>0</v>
      </c>
      <c r="R12" s="13">
        <f t="shared" si="6"/>
        <v>0</v>
      </c>
      <c r="S12" s="13">
        <f t="shared" si="6"/>
        <v>0</v>
      </c>
      <c r="T12" s="13">
        <f t="shared" si="6"/>
        <v>0</v>
      </c>
      <c r="U12" s="13">
        <f t="shared" si="6"/>
        <v>0</v>
      </c>
      <c r="V12" s="13">
        <f t="shared" si="6"/>
        <v>0</v>
      </c>
      <c r="W12" s="13">
        <f t="shared" si="6"/>
        <v>0</v>
      </c>
      <c r="X12" s="13">
        <f t="shared" si="6"/>
        <v>0</v>
      </c>
      <c r="Y12" s="13">
        <f t="shared" si="6"/>
        <v>0</v>
      </c>
      <c r="Z12" s="13">
        <f t="shared" si="6"/>
        <v>0</v>
      </c>
      <c r="AA12" s="13">
        <f t="shared" si="6"/>
        <v>0</v>
      </c>
      <c r="AB12" s="13">
        <f t="shared" si="6"/>
        <v>0</v>
      </c>
      <c r="AC12" s="13">
        <f t="shared" si="6"/>
        <v>0</v>
      </c>
      <c r="AD12" s="13">
        <v>4.6100000000000003</v>
      </c>
      <c r="AE12" s="13">
        <f t="shared" si="6"/>
        <v>0</v>
      </c>
      <c r="AF12" s="13">
        <f t="shared" si="6"/>
        <v>0</v>
      </c>
      <c r="AG12" s="13">
        <f t="shared" si="6"/>
        <v>0</v>
      </c>
      <c r="AH12">
        <v>4.6100000000000003</v>
      </c>
      <c r="AI12" t="s">
        <v>76</v>
      </c>
    </row>
    <row r="13" spans="1:35" x14ac:dyDescent="0.25">
      <c r="A13" s="44" t="s">
        <v>36</v>
      </c>
      <c r="AH13">
        <v>394.37</v>
      </c>
      <c r="AI13" t="s">
        <v>77</v>
      </c>
    </row>
    <row r="14" spans="1:35" x14ac:dyDescent="0.25">
      <c r="D14" s="8"/>
    </row>
    <row r="15" spans="1:35" ht="30" x14ac:dyDescent="0.25">
      <c r="A15" s="44" t="s">
        <v>78</v>
      </c>
      <c r="C15" s="22">
        <v>42.71</v>
      </c>
      <c r="H15" t="s">
        <v>85</v>
      </c>
      <c r="L15">
        <v>485.6</v>
      </c>
    </row>
    <row r="16" spans="1:35" x14ac:dyDescent="0.25">
      <c r="A16" s="44" t="s">
        <v>79</v>
      </c>
      <c r="C16" s="22">
        <v>1.56</v>
      </c>
      <c r="J16">
        <v>8502</v>
      </c>
    </row>
    <row r="17" spans="1:12" ht="30" x14ac:dyDescent="0.25">
      <c r="A17" s="44" t="s">
        <v>80</v>
      </c>
      <c r="C17" s="22">
        <v>14.88</v>
      </c>
      <c r="H17" t="s">
        <v>86</v>
      </c>
      <c r="J17">
        <v>7000</v>
      </c>
      <c r="L17">
        <v>750</v>
      </c>
    </row>
    <row r="18" spans="1:12" x14ac:dyDescent="0.25">
      <c r="A18" s="44" t="s">
        <v>81</v>
      </c>
      <c r="C18" s="22">
        <v>3.97</v>
      </c>
      <c r="D18" s="8"/>
      <c r="J18">
        <v>9000</v>
      </c>
    </row>
    <row r="19" spans="1:12" x14ac:dyDescent="0.25">
      <c r="A19" s="44" t="s">
        <v>82</v>
      </c>
      <c r="C19" s="22">
        <v>0.97199999999999998</v>
      </c>
      <c r="J19">
        <v>6000</v>
      </c>
    </row>
    <row r="20" spans="1:12" ht="30" x14ac:dyDescent="0.25">
      <c r="A20" s="44" t="s">
        <v>83</v>
      </c>
      <c r="C20" s="22">
        <f>SUM(C15:C19)</f>
        <v>64.091999999999999</v>
      </c>
      <c r="H20" t="s">
        <v>87</v>
      </c>
      <c r="J20" s="8">
        <v>1550</v>
      </c>
    </row>
    <row r="21" spans="1:12" ht="30" x14ac:dyDescent="0.25">
      <c r="A21" s="44" t="s">
        <v>84</v>
      </c>
      <c r="C21" s="22">
        <v>200.36</v>
      </c>
      <c r="D21" s="22">
        <v>244.87</v>
      </c>
    </row>
    <row r="23" spans="1:12" x14ac:dyDescent="0.25">
      <c r="A23" s="44" t="s">
        <v>88</v>
      </c>
      <c r="C23" s="8">
        <v>158</v>
      </c>
      <c r="E23" t="s">
        <v>90</v>
      </c>
      <c r="J23" s="22">
        <v>86.4</v>
      </c>
    </row>
    <row r="24" spans="1:12" ht="30" x14ac:dyDescent="0.25">
      <c r="A24" s="44" t="s">
        <v>89</v>
      </c>
      <c r="C24" s="8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Heat Loss Survey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Birks</dc:creator>
  <cp:keywords/>
  <dc:description/>
  <cp:lastModifiedBy>Paul Birks</cp:lastModifiedBy>
  <cp:revision/>
  <dcterms:created xsi:type="dcterms:W3CDTF">2026-07-05T21:06:43Z</dcterms:created>
  <dcterms:modified xsi:type="dcterms:W3CDTF">2026-08-23T19:03:47Z</dcterms:modified>
  <cp:category/>
  <cp:contentStatus/>
</cp:coreProperties>
</file>